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autoCompressPictures="0" defaultThemeVersion="124226"/>
  <mc:AlternateContent xmlns:mc="http://schemas.openxmlformats.org/markup-compatibility/2006">
    <mc:Choice Requires="x15">
      <x15ac:absPath xmlns:x15ac="http://schemas.microsoft.com/office/spreadsheetml/2010/11/ac" url="D:\Diversos\IGEVE\Sorocaba\125 Jorge Moyses\2022\"/>
    </mc:Choice>
  </mc:AlternateContent>
  <xr:revisionPtr revIDLastSave="0" documentId="13_ncr:1_{F6195C42-4DE2-416B-8874-7651E940880C}" xr6:coauthVersionLast="47" xr6:coauthVersionMax="47" xr10:uidLastSave="{00000000-0000-0000-0000-000000000000}"/>
  <bookViews>
    <workbookView xWindow="-108" yWindow="-108" windowWidth="23256" windowHeight="12576" xr2:uid="{00000000-000D-0000-FFFF-FFFF00000000}"/>
  </bookViews>
  <sheets>
    <sheet name="VPTA" sheetId="14" r:id="rId1"/>
    <sheet name="Anexo VII" sheetId="19" state="hidden" r:id="rId2"/>
    <sheet name="Plano Orçamentario" sheetId="16" r:id="rId3"/>
    <sheet name="Plano Analitico" sheetId="20" r:id="rId4"/>
    <sheet name="Planilha1" sheetId="21" r:id="rId5"/>
  </sheets>
  <externalReferences>
    <externalReference r:id="rId6"/>
  </externalReferences>
  <definedNames>
    <definedName name="_xlnm._FilterDatabase" localSheetId="0" hidden="1">VPTA!$A$14:$Q$21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7" i="20" l="1"/>
  <c r="D21" i="14" l="1"/>
  <c r="D18" i="14"/>
  <c r="D17" i="14"/>
  <c r="H36" i="16"/>
  <c r="B4" i="21" l="1"/>
  <c r="C4" i="21"/>
  <c r="D4" i="21"/>
  <c r="B5" i="21"/>
  <c r="C5" i="21"/>
  <c r="D5" i="21"/>
  <c r="E5" i="21"/>
  <c r="O5" i="21" s="1"/>
  <c r="B6" i="21"/>
  <c r="C6" i="21"/>
  <c r="D6" i="21"/>
  <c r="E6" i="21"/>
  <c r="B7" i="21"/>
  <c r="C7" i="21"/>
  <c r="D7" i="21"/>
  <c r="B8" i="21"/>
  <c r="C8" i="21"/>
  <c r="D8" i="21"/>
  <c r="B9" i="21"/>
  <c r="C9" i="21"/>
  <c r="D9" i="21"/>
  <c r="E9" i="21"/>
  <c r="O9" i="21" s="1"/>
  <c r="B10" i="21"/>
  <c r="C10" i="21"/>
  <c r="D10" i="21"/>
  <c r="E10" i="21"/>
  <c r="O10" i="21"/>
  <c r="L11" i="21"/>
  <c r="M27" i="14"/>
  <c r="M28" i="14"/>
  <c r="G25" i="16"/>
  <c r="H25" i="16" s="1"/>
  <c r="C25" i="16"/>
  <c r="B25" i="16"/>
  <c r="G24" i="16"/>
  <c r="H24" i="16" s="1"/>
  <c r="C24" i="16"/>
  <c r="B24" i="16"/>
  <c r="G23" i="16"/>
  <c r="H23" i="16" s="1"/>
  <c r="C23" i="16"/>
  <c r="B23" i="16"/>
  <c r="O33" i="20"/>
  <c r="N33" i="20"/>
  <c r="M33" i="20"/>
  <c r="L33" i="20"/>
  <c r="K33" i="20"/>
  <c r="J33" i="20"/>
  <c r="I33" i="20"/>
  <c r="H33" i="20"/>
  <c r="G33" i="20"/>
  <c r="F33" i="20"/>
  <c r="O32" i="20"/>
  <c r="N32" i="20"/>
  <c r="M32" i="20"/>
  <c r="L32" i="20"/>
  <c r="K32" i="20"/>
  <c r="J32" i="20"/>
  <c r="I32" i="20"/>
  <c r="H32" i="20"/>
  <c r="G32" i="20"/>
  <c r="F32" i="20"/>
  <c r="E33" i="20"/>
  <c r="E32" i="20"/>
  <c r="P32" i="20" s="1"/>
  <c r="B11" i="21" l="1"/>
  <c r="O6" i="21"/>
  <c r="P33" i="20"/>
  <c r="H3" i="14"/>
  <c r="D13" i="20"/>
  <c r="D13" i="16"/>
  <c r="L28" i="14"/>
  <c r="I6" i="21" s="1"/>
  <c r="S6" i="21" s="1"/>
  <c r="L29" i="14"/>
  <c r="I7" i="21" s="1"/>
  <c r="S7" i="21" s="1"/>
  <c r="L30" i="14"/>
  <c r="I8" i="21" s="1"/>
  <c r="S8" i="21" s="1"/>
  <c r="L31" i="14"/>
  <c r="I9" i="21" s="1"/>
  <c r="S9" i="21" s="1"/>
  <c r="L32" i="14"/>
  <c r="I10" i="21" s="1"/>
  <c r="S10" i="21" s="1"/>
  <c r="L27" i="14"/>
  <c r="I5" i="21" s="1"/>
  <c r="S5" i="21" s="1"/>
  <c r="L26" i="14"/>
  <c r="I4" i="21" s="1"/>
  <c r="S4" i="21" s="1"/>
  <c r="M32" i="14"/>
  <c r="M31" i="14"/>
  <c r="E8" i="21" l="1"/>
  <c r="M30" i="14"/>
  <c r="M26" i="14"/>
  <c r="E4" i="21"/>
  <c r="M29" i="14"/>
  <c r="E7" i="21"/>
  <c r="S11" i="21"/>
  <c r="I11" i="21"/>
  <c r="D10" i="14"/>
  <c r="D11" i="14"/>
  <c r="B12" i="14"/>
  <c r="J3" i="14" s="1"/>
  <c r="N30" i="14"/>
  <c r="H8" i="21" s="1"/>
  <c r="R8" i="21" s="1"/>
  <c r="F19" i="14"/>
  <c r="O42" i="20"/>
  <c r="N42" i="20"/>
  <c r="M42" i="20"/>
  <c r="L42" i="20"/>
  <c r="K42" i="20"/>
  <c r="J42" i="20"/>
  <c r="I42" i="20"/>
  <c r="H42" i="20"/>
  <c r="G42" i="20"/>
  <c r="F42" i="20"/>
  <c r="E42" i="20"/>
  <c r="G33" i="16" s="1"/>
  <c r="N31" i="14"/>
  <c r="H9" i="21" s="1"/>
  <c r="R9" i="21" s="1"/>
  <c r="F20" i="14"/>
  <c r="E11" i="21" l="1"/>
  <c r="O4" i="21"/>
  <c r="O7" i="21"/>
  <c r="O8" i="21"/>
  <c r="P42" i="20"/>
  <c r="L20" i="14"/>
  <c r="Q30" i="14"/>
  <c r="I19" i="14"/>
  <c r="H19" i="14"/>
  <c r="L19" i="14"/>
  <c r="J19" i="14"/>
  <c r="K19" i="14"/>
  <c r="O19" i="14"/>
  <c r="O20" i="14"/>
  <c r="P20" i="14" s="1"/>
  <c r="O31" i="14" s="1"/>
  <c r="H20" i="14"/>
  <c r="Q31" i="14"/>
  <c r="I20" i="14"/>
  <c r="M20" i="14"/>
  <c r="J20" i="14"/>
  <c r="K20" i="14"/>
  <c r="N27" i="14"/>
  <c r="H5" i="21" s="1"/>
  <c r="R5" i="21" s="1"/>
  <c r="F16" i="14"/>
  <c r="H34" i="20"/>
  <c r="C31" i="16"/>
  <c r="B31" i="16"/>
  <c r="C30" i="16"/>
  <c r="B30" i="16"/>
  <c r="C29" i="16"/>
  <c r="B29" i="16"/>
  <c r="O11" i="21" l="1"/>
  <c r="F9" i="21"/>
  <c r="N20" i="14"/>
  <c r="O16" i="14"/>
  <c r="P19" i="14"/>
  <c r="J30" i="14" s="1"/>
  <c r="M19" i="14"/>
  <c r="N19" i="14"/>
  <c r="I31" i="14"/>
  <c r="G9" i="21" s="1"/>
  <c r="Q9" i="21" s="1"/>
  <c r="J31" i="14"/>
  <c r="K31" i="14" s="1"/>
  <c r="Q27" i="14"/>
  <c r="H16" i="14"/>
  <c r="L16" i="14"/>
  <c r="P16" i="14"/>
  <c r="J27" i="14" s="1"/>
  <c r="I16" i="14"/>
  <c r="J16" i="14"/>
  <c r="K16" i="14"/>
  <c r="N16" i="14" l="1"/>
  <c r="P31" i="14"/>
  <c r="J9" i="21"/>
  <c r="P9" i="21"/>
  <c r="T9" i="21" s="1"/>
  <c r="I30" i="14"/>
  <c r="K30" i="14"/>
  <c r="O30" i="14"/>
  <c r="F8" i="21" s="1"/>
  <c r="M16" i="14"/>
  <c r="K27" i="14"/>
  <c r="I27" i="14"/>
  <c r="O27" i="14"/>
  <c r="F5" i="21" s="1"/>
  <c r="O39" i="20"/>
  <c r="N39" i="20"/>
  <c r="M39" i="20"/>
  <c r="L39" i="20"/>
  <c r="K39" i="20"/>
  <c r="J39" i="20"/>
  <c r="G30" i="16" s="1"/>
  <c r="H30" i="16" s="1"/>
  <c r="I39" i="20"/>
  <c r="H39" i="20"/>
  <c r="G39" i="20"/>
  <c r="F39" i="20"/>
  <c r="O38" i="20"/>
  <c r="N38" i="20"/>
  <c r="M38" i="20"/>
  <c r="L38" i="20"/>
  <c r="K38" i="20"/>
  <c r="J38" i="20"/>
  <c r="G29" i="16" s="1"/>
  <c r="H29" i="16" s="1"/>
  <c r="I38" i="20"/>
  <c r="H38" i="20"/>
  <c r="G38" i="20"/>
  <c r="F38" i="20"/>
  <c r="E39" i="20"/>
  <c r="E38" i="20"/>
  <c r="G8" i="21" l="1"/>
  <c r="Q8" i="21" s="1"/>
  <c r="P5" i="21"/>
  <c r="P27" i="14"/>
  <c r="G5" i="21"/>
  <c r="Q5" i="21" s="1"/>
  <c r="P8" i="21"/>
  <c r="T8" i="21" s="1"/>
  <c r="J8" i="21"/>
  <c r="P30" i="14"/>
  <c r="P39" i="20"/>
  <c r="P38" i="20"/>
  <c r="J5" i="21" l="1"/>
  <c r="T5" i="21"/>
  <c r="N32" i="14"/>
  <c r="H10" i="21" s="1"/>
  <c r="R10" i="21" s="1"/>
  <c r="F21" i="14"/>
  <c r="G22" i="16"/>
  <c r="H22" i="16" s="1"/>
  <c r="C22" i="16"/>
  <c r="B22" i="16"/>
  <c r="C28" i="16"/>
  <c r="B28" i="16"/>
  <c r="B27" i="16"/>
  <c r="O34" i="20"/>
  <c r="N34" i="20"/>
  <c r="M34" i="20"/>
  <c r="L34" i="20"/>
  <c r="K34" i="20"/>
  <c r="J34" i="20"/>
  <c r="I34" i="20"/>
  <c r="G34" i="20"/>
  <c r="F34" i="20"/>
  <c r="E34" i="20"/>
  <c r="I21" i="14" l="1"/>
  <c r="J21" i="14"/>
  <c r="K21" i="14"/>
  <c r="H21" i="14"/>
  <c r="L21" i="14"/>
  <c r="O21" i="14"/>
  <c r="D55" i="20" l="1"/>
  <c r="P21" i="14"/>
  <c r="O32" i="14" s="1"/>
  <c r="F10" i="21" s="1"/>
  <c r="M21" i="14"/>
  <c r="N21" i="14"/>
  <c r="D9" i="14"/>
  <c r="D8" i="14"/>
  <c r="J18" i="14"/>
  <c r="N28" i="14"/>
  <c r="H6" i="21" s="1"/>
  <c r="N29" i="14"/>
  <c r="H7" i="21" s="1"/>
  <c r="R7" i="21" s="1"/>
  <c r="N26" i="14"/>
  <c r="H4" i="21" s="1"/>
  <c r="R4" i="21" s="1"/>
  <c r="F15" i="14"/>
  <c r="F17" i="14"/>
  <c r="F18" i="14"/>
  <c r="G23" i="14"/>
  <c r="J36" i="20"/>
  <c r="G27" i="16" s="1"/>
  <c r="G32" i="16"/>
  <c r="H32" i="16" s="1"/>
  <c r="E31" i="20"/>
  <c r="E36" i="20"/>
  <c r="E37" i="20"/>
  <c r="E40" i="20"/>
  <c r="F31" i="20"/>
  <c r="F36" i="20"/>
  <c r="F37" i="20"/>
  <c r="F40" i="20"/>
  <c r="G31" i="20"/>
  <c r="G36" i="20"/>
  <c r="G37" i="20"/>
  <c r="G40" i="20"/>
  <c r="H31" i="20"/>
  <c r="H36" i="20"/>
  <c r="H37" i="20"/>
  <c r="H40" i="20"/>
  <c r="I31" i="20"/>
  <c r="I36" i="20"/>
  <c r="I37" i="20"/>
  <c r="I40" i="20"/>
  <c r="J31" i="20"/>
  <c r="J37" i="20"/>
  <c r="G28" i="16" s="1"/>
  <c r="H28" i="16" s="1"/>
  <c r="J40" i="20"/>
  <c r="G31" i="16" s="1"/>
  <c r="H31" i="16" s="1"/>
  <c r="K31" i="20"/>
  <c r="K36" i="20"/>
  <c r="K37" i="20"/>
  <c r="K40" i="20"/>
  <c r="L31" i="20"/>
  <c r="L36" i="20"/>
  <c r="L37" i="20"/>
  <c r="L40" i="20"/>
  <c r="M31" i="20"/>
  <c r="M36" i="20"/>
  <c r="M37" i="20"/>
  <c r="M40" i="20"/>
  <c r="N31" i="20"/>
  <c r="N36" i="20"/>
  <c r="N37" i="20"/>
  <c r="N40" i="20"/>
  <c r="O31" i="20"/>
  <c r="O36" i="20"/>
  <c r="O37" i="20"/>
  <c r="O40" i="20"/>
  <c r="E23" i="14"/>
  <c r="C23" i="14"/>
  <c r="C27" i="16"/>
  <c r="A18" i="19"/>
  <c r="D18" i="19" s="1"/>
  <c r="A20" i="19"/>
  <c r="D20" i="19" s="1"/>
  <c r="A19" i="19"/>
  <c r="D19" i="19" s="1"/>
  <c r="A14" i="19"/>
  <c r="C14" i="19" s="1"/>
  <c r="A13" i="19"/>
  <c r="D13" i="19" s="1"/>
  <c r="D22" i="19" s="1"/>
  <c r="A15" i="19"/>
  <c r="C15" i="19" s="1"/>
  <c r="AC15" i="19" s="1"/>
  <c r="AE15" i="19" s="1"/>
  <c r="A16" i="19"/>
  <c r="B16" i="19" s="1"/>
  <c r="A17" i="19"/>
  <c r="D17" i="19" s="1"/>
  <c r="E22" i="19"/>
  <c r="P10" i="21" l="1"/>
  <c r="R6" i="21"/>
  <c r="R11" i="21" s="1"/>
  <c r="H11" i="21"/>
  <c r="L15" i="14"/>
  <c r="M15" i="14" s="1"/>
  <c r="H55" i="20"/>
  <c r="D12" i="14"/>
  <c r="G55" i="20"/>
  <c r="L55" i="20"/>
  <c r="M55" i="20"/>
  <c r="O55" i="20"/>
  <c r="K55" i="20"/>
  <c r="J55" i="20"/>
  <c r="F55" i="20"/>
  <c r="N55" i="20"/>
  <c r="I55" i="20"/>
  <c r="E55" i="20"/>
  <c r="I18" i="14"/>
  <c r="I32" i="14"/>
  <c r="C17" i="19"/>
  <c r="W17" i="19" s="1"/>
  <c r="Y17" i="19" s="1"/>
  <c r="J32" i="14"/>
  <c r="K32" i="14" s="1"/>
  <c r="B20" i="19"/>
  <c r="B15" i="19"/>
  <c r="O15" i="14"/>
  <c r="P15" i="14" s="1"/>
  <c r="C20" i="19"/>
  <c r="AC20" i="19" s="1"/>
  <c r="AE20" i="19" s="1"/>
  <c r="B13" i="19"/>
  <c r="Q29" i="14"/>
  <c r="H33" i="16"/>
  <c r="P37" i="20"/>
  <c r="P36" i="20"/>
  <c r="P31" i="20"/>
  <c r="P34" i="20"/>
  <c r="B17" i="19"/>
  <c r="C19" i="19"/>
  <c r="AC19" i="19" s="1"/>
  <c r="AE19" i="19" s="1"/>
  <c r="C18" i="19"/>
  <c r="AC18" i="19" s="1"/>
  <c r="AE18" i="19" s="1"/>
  <c r="Q28" i="14"/>
  <c r="W15" i="19"/>
  <c r="Y15" i="19" s="1"/>
  <c r="Z14" i="19"/>
  <c r="AB14" i="19" s="1"/>
  <c r="U14" i="19"/>
  <c r="W14" i="19"/>
  <c r="Y14" i="19" s="1"/>
  <c r="AC14" i="19"/>
  <c r="AE14" i="19" s="1"/>
  <c r="L34" i="14"/>
  <c r="B18" i="19"/>
  <c r="B14" i="19"/>
  <c r="J15" i="14"/>
  <c r="D14" i="19"/>
  <c r="F14" i="19" s="1"/>
  <c r="I14" i="19" s="1"/>
  <c r="K15" i="14"/>
  <c r="D15" i="19"/>
  <c r="F15" i="19" s="1"/>
  <c r="H15" i="19" s="1"/>
  <c r="C13" i="19"/>
  <c r="Z13" i="19" s="1"/>
  <c r="AB13" i="19" s="1"/>
  <c r="AB22" i="19" s="1"/>
  <c r="B19" i="19"/>
  <c r="H18" i="14"/>
  <c r="M34" i="14"/>
  <c r="Q26" i="14"/>
  <c r="Z15" i="19"/>
  <c r="AB15" i="19" s="1"/>
  <c r="U15" i="19"/>
  <c r="D16" i="19"/>
  <c r="C16" i="19"/>
  <c r="F23" i="14"/>
  <c r="G26" i="16"/>
  <c r="H27" i="16"/>
  <c r="H26" i="16" s="1"/>
  <c r="H17" i="14"/>
  <c r="J17" i="14"/>
  <c r="K17" i="14"/>
  <c r="L17" i="14"/>
  <c r="O17" i="14"/>
  <c r="H15" i="14"/>
  <c r="I15" i="14"/>
  <c r="D23" i="14"/>
  <c r="P40" i="20"/>
  <c r="I17" i="14"/>
  <c r="N34" i="14"/>
  <c r="O18" i="14"/>
  <c r="L18" i="14"/>
  <c r="K18" i="14"/>
  <c r="N15" i="14" l="1"/>
  <c r="G10" i="21"/>
  <c r="Q10" i="21" s="1"/>
  <c r="T10" i="21" s="1"/>
  <c r="J10" i="21"/>
  <c r="P32" i="14"/>
  <c r="D27" i="20"/>
  <c r="G18" i="16"/>
  <c r="H18" i="16" s="1"/>
  <c r="I26" i="14"/>
  <c r="P55" i="20"/>
  <c r="U17" i="19"/>
  <c r="Z17" i="19"/>
  <c r="AB17" i="19" s="1"/>
  <c r="F17" i="19"/>
  <c r="G17" i="19" s="1"/>
  <c r="AC17" i="19"/>
  <c r="AE17" i="19" s="1"/>
  <c r="F20" i="19"/>
  <c r="I20" i="19" s="1"/>
  <c r="J20" i="19" s="1"/>
  <c r="E27" i="20"/>
  <c r="O26" i="14"/>
  <c r="F4" i="21" s="1"/>
  <c r="J26" i="14"/>
  <c r="K26" i="14" s="1"/>
  <c r="Z20" i="19"/>
  <c r="AB20" i="19" s="1"/>
  <c r="W20" i="19"/>
  <c r="Y20" i="19" s="1"/>
  <c r="U20" i="19"/>
  <c r="Z19" i="19"/>
  <c r="AB19" i="19" s="1"/>
  <c r="F18" i="19"/>
  <c r="G18" i="19" s="1"/>
  <c r="Z18" i="19"/>
  <c r="AB18" i="19" s="1"/>
  <c r="U19" i="19"/>
  <c r="F19" i="19"/>
  <c r="L19" i="19" s="1"/>
  <c r="W19" i="19"/>
  <c r="Y19" i="19" s="1"/>
  <c r="U18" i="19"/>
  <c r="W18" i="19"/>
  <c r="Y18" i="19" s="1"/>
  <c r="L23" i="14"/>
  <c r="P15" i="19"/>
  <c r="G15" i="19"/>
  <c r="L15" i="19"/>
  <c r="M15" i="19" s="1"/>
  <c r="I15" i="19"/>
  <c r="K15" i="19" s="1"/>
  <c r="H14" i="19"/>
  <c r="P14" i="19"/>
  <c r="L14" i="19"/>
  <c r="M14" i="19" s="1"/>
  <c r="O14" i="19" s="1"/>
  <c r="G14" i="19"/>
  <c r="C22" i="19"/>
  <c r="W13" i="19"/>
  <c r="Y13" i="19" s="1"/>
  <c r="Y22" i="19" s="1"/>
  <c r="AC13" i="19"/>
  <c r="AE13" i="19" s="1"/>
  <c r="AE22" i="19" s="1"/>
  <c r="U13" i="19"/>
  <c r="U22" i="19" s="1"/>
  <c r="F13" i="19"/>
  <c r="J23" i="14"/>
  <c r="I23" i="14"/>
  <c r="H23" i="14"/>
  <c r="M17" i="14"/>
  <c r="N17" i="14"/>
  <c r="Z16" i="19"/>
  <c r="AB16" i="19" s="1"/>
  <c r="F16" i="19"/>
  <c r="U16" i="19"/>
  <c r="W16" i="19"/>
  <c r="Y16" i="19" s="1"/>
  <c r="AC16" i="19"/>
  <c r="AE16" i="19" s="1"/>
  <c r="G17" i="16"/>
  <c r="D23" i="20"/>
  <c r="P17" i="14"/>
  <c r="O28" i="14" s="1"/>
  <c r="F6" i="21" s="1"/>
  <c r="M18" i="14"/>
  <c r="N18" i="14"/>
  <c r="K23" i="14"/>
  <c r="D24" i="20" s="1"/>
  <c r="P18" i="14"/>
  <c r="O29" i="14" s="1"/>
  <c r="F7" i="21" s="1"/>
  <c r="O23" i="14"/>
  <c r="J14" i="19"/>
  <c r="K14" i="19"/>
  <c r="G4" i="21" l="1"/>
  <c r="Q4" i="21" s="1"/>
  <c r="P4" i="21"/>
  <c r="P7" i="21"/>
  <c r="P6" i="21"/>
  <c r="F11" i="21"/>
  <c r="P26" i="14"/>
  <c r="P17" i="19"/>
  <c r="H17" i="19"/>
  <c r="I17" i="19"/>
  <c r="J17" i="19" s="1"/>
  <c r="L17" i="19"/>
  <c r="M17" i="19" s="1"/>
  <c r="O17" i="19" s="1"/>
  <c r="K20" i="19"/>
  <c r="S20" i="19"/>
  <c r="L20" i="19"/>
  <c r="M20" i="19" s="1"/>
  <c r="H20" i="19"/>
  <c r="P20" i="19"/>
  <c r="G20" i="19"/>
  <c r="L18" i="19"/>
  <c r="M18" i="19" s="1"/>
  <c r="N18" i="19" s="1"/>
  <c r="P18" i="19"/>
  <c r="I18" i="19"/>
  <c r="K18" i="19" s="1"/>
  <c r="H18" i="19"/>
  <c r="G27" i="20"/>
  <c r="J15" i="19"/>
  <c r="R15" i="19"/>
  <c r="H19" i="19"/>
  <c r="G19" i="19"/>
  <c r="P19" i="19"/>
  <c r="I19" i="19"/>
  <c r="J19" i="19" s="1"/>
  <c r="H27" i="20"/>
  <c r="O15" i="19"/>
  <c r="Q15" i="19" s="1"/>
  <c r="M27" i="20"/>
  <c r="J27" i="20"/>
  <c r="N15" i="19"/>
  <c r="O27" i="20"/>
  <c r="N27" i="20"/>
  <c r="L27" i="20"/>
  <c r="I27" i="20"/>
  <c r="F27" i="20"/>
  <c r="K27" i="20"/>
  <c r="H13" i="19"/>
  <c r="H22" i="19" s="1"/>
  <c r="I13" i="19"/>
  <c r="P13" i="19"/>
  <c r="P22" i="19" s="1"/>
  <c r="L13" i="19"/>
  <c r="G13" i="19"/>
  <c r="G22" i="19" s="1"/>
  <c r="F22" i="19"/>
  <c r="J28" i="14"/>
  <c r="K28" i="14" s="1"/>
  <c r="Q14" i="19"/>
  <c r="F24" i="20"/>
  <c r="J24" i="20"/>
  <c r="M24" i="20"/>
  <c r="E24" i="20"/>
  <c r="I24" i="20"/>
  <c r="L24" i="20"/>
  <c r="H24" i="20"/>
  <c r="O24" i="20"/>
  <c r="G24" i="20"/>
  <c r="K24" i="20"/>
  <c r="N24" i="20"/>
  <c r="N14" i="19"/>
  <c r="H17" i="16"/>
  <c r="M23" i="14"/>
  <c r="D25" i="20"/>
  <c r="R14" i="19"/>
  <c r="J29" i="14"/>
  <c r="K29" i="14" s="1"/>
  <c r="O34" i="14"/>
  <c r="P23" i="14"/>
  <c r="I28" i="14"/>
  <c r="G16" i="19"/>
  <c r="L16" i="19"/>
  <c r="H16" i="19"/>
  <c r="I16" i="19"/>
  <c r="P16" i="19"/>
  <c r="M19" i="19"/>
  <c r="E23" i="20"/>
  <c r="I23" i="20"/>
  <c r="L23" i="20"/>
  <c r="H23" i="20"/>
  <c r="K23" i="20"/>
  <c r="O23" i="20"/>
  <c r="F23" i="20"/>
  <c r="G23" i="20"/>
  <c r="M23" i="20"/>
  <c r="J23" i="20"/>
  <c r="N23" i="20"/>
  <c r="N23" i="14"/>
  <c r="I29" i="14"/>
  <c r="J4" i="21" l="1"/>
  <c r="T4" i="21"/>
  <c r="G7" i="21"/>
  <c r="P28" i="14"/>
  <c r="P29" i="14"/>
  <c r="G6" i="21"/>
  <c r="P11" i="21"/>
  <c r="K17" i="19"/>
  <c r="Q17" i="19" s="1"/>
  <c r="N20" i="19"/>
  <c r="O20" i="19"/>
  <c r="Q20" i="19" s="1"/>
  <c r="V20" i="19"/>
  <c r="AF20" i="19" s="1"/>
  <c r="R20" i="19"/>
  <c r="O18" i="19"/>
  <c r="Q18" i="19" s="1"/>
  <c r="R18" i="19"/>
  <c r="J18" i="19"/>
  <c r="K19" i="19"/>
  <c r="S19" i="19"/>
  <c r="V19" i="19" s="1"/>
  <c r="AF19" i="19" s="1"/>
  <c r="R19" i="19"/>
  <c r="S15" i="19"/>
  <c r="V15" i="19" s="1"/>
  <c r="AF15" i="19" s="1"/>
  <c r="P27" i="20"/>
  <c r="P24" i="20"/>
  <c r="L22" i="19"/>
  <c r="M13" i="19"/>
  <c r="O13" i="19" s="1"/>
  <c r="O22" i="19" s="1"/>
  <c r="K34" i="14"/>
  <c r="K13" i="19"/>
  <c r="K22" i="19" s="1"/>
  <c r="I22" i="19"/>
  <c r="J13" i="19"/>
  <c r="J22" i="19" s="1"/>
  <c r="S13" i="19"/>
  <c r="N19" i="19"/>
  <c r="N17" i="19"/>
  <c r="S14" i="19"/>
  <c r="V14" i="19" s="1"/>
  <c r="AF14" i="19" s="1"/>
  <c r="D26" i="20"/>
  <c r="G19" i="16"/>
  <c r="J34" i="14"/>
  <c r="I34" i="14"/>
  <c r="G25" i="20"/>
  <c r="N25" i="20"/>
  <c r="F25" i="20"/>
  <c r="J25" i="20"/>
  <c r="M25" i="20"/>
  <c r="I25" i="20"/>
  <c r="K25" i="20"/>
  <c r="H25" i="20"/>
  <c r="E25" i="20"/>
  <c r="O25" i="20"/>
  <c r="L25" i="20"/>
  <c r="R17" i="19"/>
  <c r="O19" i="19"/>
  <c r="M16" i="19"/>
  <c r="R16" i="19" s="1"/>
  <c r="P23" i="20"/>
  <c r="J16" i="19"/>
  <c r="K16" i="19"/>
  <c r="Q7" i="21" l="1"/>
  <c r="T7" i="21" s="1"/>
  <c r="J7" i="21"/>
  <c r="Q6" i="21"/>
  <c r="G11" i="21"/>
  <c r="J11" i="21" s="1"/>
  <c r="J6" i="21"/>
  <c r="S18" i="19"/>
  <c r="V18" i="19" s="1"/>
  <c r="AF18" i="19" s="1"/>
  <c r="Q19" i="19"/>
  <c r="D28" i="20"/>
  <c r="M28" i="20" s="1"/>
  <c r="M22" i="19"/>
  <c r="AF25" i="19" s="1"/>
  <c r="N13" i="19"/>
  <c r="N22" i="19" s="1"/>
  <c r="R13" i="19"/>
  <c r="R22" i="19" s="1"/>
  <c r="S17" i="19"/>
  <c r="V17" i="19" s="1"/>
  <c r="AF17" i="19" s="1"/>
  <c r="P25" i="20"/>
  <c r="S22" i="19"/>
  <c r="AF23" i="19" s="1"/>
  <c r="V13" i="19"/>
  <c r="AF13" i="19" s="1"/>
  <c r="AF22" i="19" s="1"/>
  <c r="Q13" i="19"/>
  <c r="Q22" i="19" s="1"/>
  <c r="G20" i="16"/>
  <c r="H20" i="16" s="1"/>
  <c r="O16" i="19"/>
  <c r="Q16" i="19" s="1"/>
  <c r="H19" i="16"/>
  <c r="N16" i="19"/>
  <c r="H26" i="20"/>
  <c r="K26" i="20"/>
  <c r="O26" i="20"/>
  <c r="G26" i="20"/>
  <c r="N26" i="20"/>
  <c r="L26" i="20"/>
  <c r="F26" i="20"/>
  <c r="I26" i="20"/>
  <c r="M26" i="20"/>
  <c r="E26" i="20"/>
  <c r="J26" i="20"/>
  <c r="Q11" i="21" l="1"/>
  <c r="T6" i="21"/>
  <c r="N28" i="20"/>
  <c r="N53" i="20" s="1"/>
  <c r="N57" i="20" s="1"/>
  <c r="F28" i="20"/>
  <c r="F53" i="20" s="1"/>
  <c r="F57" i="20" s="1"/>
  <c r="L28" i="20"/>
  <c r="L53" i="20" s="1"/>
  <c r="L57" i="20" s="1"/>
  <c r="I28" i="20"/>
  <c r="I53" i="20" s="1"/>
  <c r="I57" i="20" s="1"/>
  <c r="H28" i="20"/>
  <c r="H53" i="20" s="1"/>
  <c r="H57" i="20" s="1"/>
  <c r="J28" i="20"/>
  <c r="J53" i="20" s="1"/>
  <c r="J57" i="20" s="1"/>
  <c r="D53" i="20"/>
  <c r="D57" i="20" s="1"/>
  <c r="K28" i="20"/>
  <c r="K53" i="20" s="1"/>
  <c r="K57" i="20" s="1"/>
  <c r="E28" i="20"/>
  <c r="E53" i="20" s="1"/>
  <c r="E57" i="20" s="1"/>
  <c r="H16" i="16"/>
  <c r="O28" i="20"/>
  <c r="O53" i="20" s="1"/>
  <c r="O57" i="20" s="1"/>
  <c r="G28" i="20"/>
  <c r="G53" i="20" s="1"/>
  <c r="G57" i="20" s="1"/>
  <c r="G16" i="16"/>
  <c r="S16" i="19"/>
  <c r="V16" i="19" s="1"/>
  <c r="AF16" i="19" s="1"/>
  <c r="M53" i="20"/>
  <c r="M57" i="20" s="1"/>
  <c r="AF24" i="19"/>
  <c r="P26" i="20"/>
  <c r="P28" i="20" l="1"/>
  <c r="P53" i="20"/>
  <c r="P57" i="20"/>
  <c r="G21" i="16"/>
  <c r="G34" i="16" s="1"/>
  <c r="H21" i="16"/>
  <c r="I6" i="14" l="1"/>
  <c r="K5" i="14" s="1"/>
  <c r="H34" i="16"/>
  <c r="J6" i="14" l="1"/>
  <c r="H6" i="14"/>
  <c r="I16" i="16" s="1"/>
  <c r="O17" i="20"/>
  <c r="O19" i="20" s="1"/>
  <c r="O59" i="20" s="1"/>
  <c r="I34" i="16"/>
  <c r="H38" i="16"/>
  <c r="K17" i="20" l="1"/>
  <c r="K19" i="20" s="1"/>
  <c r="K59" i="20" s="1"/>
  <c r="G17" i="20"/>
  <c r="H17" i="20"/>
  <c r="H19" i="20" s="1"/>
  <c r="H59" i="20" s="1"/>
  <c r="N17" i="20"/>
  <c r="N19" i="20" s="1"/>
  <c r="N59" i="20" s="1"/>
  <c r="L17" i="20"/>
  <c r="L19" i="20" s="1"/>
  <c r="L59" i="20" s="1"/>
  <c r="M17" i="20"/>
  <c r="M19" i="20" s="1"/>
  <c r="M59" i="20" s="1"/>
  <c r="I17" i="20"/>
  <c r="I19" i="20" s="1"/>
  <c r="I59" i="20" s="1"/>
  <c r="E17" i="20"/>
  <c r="E19" i="20" s="1"/>
  <c r="E59" i="20" s="1"/>
  <c r="D19" i="20"/>
  <c r="D59" i="20" s="1"/>
  <c r="J17" i="20"/>
  <c r="J19" i="20" s="1"/>
  <c r="J59" i="20" s="1"/>
  <c r="F17" i="20"/>
  <c r="F19" i="20" s="1"/>
  <c r="F59" i="20" s="1"/>
  <c r="P18" i="20"/>
  <c r="G19" i="20"/>
  <c r="G59" i="20" s="1"/>
  <c r="P17" i="20" l="1"/>
  <c r="P19" i="20"/>
  <c r="P59" i="20" s="1"/>
  <c r="P34" i="14"/>
  <c r="Q34" i="14" s="1"/>
</calcChain>
</file>

<file path=xl/sharedStrings.xml><?xml version="1.0" encoding="utf-8"?>
<sst xmlns="http://schemas.openxmlformats.org/spreadsheetml/2006/main" count="231" uniqueCount="157">
  <si>
    <t>VLR CONTRATO ANO</t>
  </si>
  <si>
    <t>VLR CONTRATO MÊS</t>
  </si>
  <si>
    <t>FUNÇÃO</t>
  </si>
  <si>
    <t>horas</t>
  </si>
  <si>
    <t>QTD</t>
  </si>
  <si>
    <t>SALÁRIO BRUTO</t>
  </si>
  <si>
    <t>ADC. NOTURNO</t>
  </si>
  <si>
    <t>INSALUBRIDADE</t>
  </si>
  <si>
    <t>DSR S/ADC. NOT</t>
  </si>
  <si>
    <t>INSS EMPRESA</t>
  </si>
  <si>
    <t>INSS TERCEIROS</t>
  </si>
  <si>
    <t>RAT</t>
  </si>
  <si>
    <t>FGTS</t>
  </si>
  <si>
    <t>13º SALARIO</t>
  </si>
  <si>
    <t>INSS 13º</t>
  </si>
  <si>
    <t>FGTS 13º</t>
  </si>
  <si>
    <t>FÉRIAS</t>
  </si>
  <si>
    <t>1/3 FÉRIAS</t>
  </si>
  <si>
    <t>INSS FÉRIAS</t>
  </si>
  <si>
    <t>FGTS FÉRIAS</t>
  </si>
  <si>
    <t>AVISO PRÉVIO</t>
  </si>
  <si>
    <t>MULTA FGTS</t>
  </si>
  <si>
    <t>VR</t>
  </si>
  <si>
    <t>VT</t>
  </si>
  <si>
    <t>PIS</t>
  </si>
  <si>
    <t>CUSTO TOTAL</t>
  </si>
  <si>
    <t>SUBTOTAL</t>
  </si>
  <si>
    <t>LOTE 1 - Escola Municipal Maternal Nadir Adolfina Pereira</t>
  </si>
  <si>
    <t>Creche - 2 Turmas = 268 Alunos</t>
  </si>
  <si>
    <t>REMUNERAÇÃO DE PESSOAL</t>
  </si>
  <si>
    <t>Função</t>
  </si>
  <si>
    <t>Carga Horária</t>
  </si>
  <si>
    <t>QTDE</t>
  </si>
  <si>
    <t>Salário Base</t>
  </si>
  <si>
    <t>Adic. Insal.</t>
  </si>
  <si>
    <t>Salários</t>
  </si>
  <si>
    <t>Verbas/Multa recisórias+Provisão+Férias/13º Salário c/ Encargos</t>
  </si>
  <si>
    <t>Total p/ categoria</t>
  </si>
  <si>
    <t>SubTotal</t>
  </si>
  <si>
    <t>Vale Refeição</t>
  </si>
  <si>
    <t>Vale Transporte</t>
  </si>
  <si>
    <t>uniforme</t>
  </si>
  <si>
    <t>Total Geral c/ encargos e provisionamentos</t>
  </si>
  <si>
    <t>INSS</t>
  </si>
  <si>
    <t>C. Basica</t>
  </si>
  <si>
    <t>Valor</t>
  </si>
  <si>
    <t>Qtde</t>
  </si>
  <si>
    <t>Vl Un</t>
  </si>
  <si>
    <t>TOTAL</t>
  </si>
  <si>
    <t>O</t>
  </si>
  <si>
    <t>S</t>
  </si>
  <si>
    <t>E</t>
  </si>
  <si>
    <t>B</t>
  </si>
  <si>
    <t>PLANO ORÇAMENTÁRIO DE CUSTEIO</t>
  </si>
  <si>
    <t>DESCRIÇÃO</t>
  </si>
  <si>
    <t>Implantação</t>
  </si>
  <si>
    <t>Mês Seguinte</t>
  </si>
  <si>
    <t>01. Pessoal e Reflexo</t>
  </si>
  <si>
    <t>01.01</t>
  </si>
  <si>
    <t>- Remuneração de Pessoal</t>
  </si>
  <si>
    <t>01.02</t>
  </si>
  <si>
    <t>- Beneficios</t>
  </si>
  <si>
    <t>01.03</t>
  </si>
  <si>
    <t>- Encargos e Contribuições</t>
  </si>
  <si>
    <t>01.04</t>
  </si>
  <si>
    <t>- Outras Despesas de Pessoal</t>
  </si>
  <si>
    <t>02. Materiais de Consumo</t>
  </si>
  <si>
    <t>03. Serviços de Terceiros</t>
  </si>
  <si>
    <t>04. Despesas Indiretas</t>
  </si>
  <si>
    <t>JAN</t>
  </si>
  <si>
    <t>FEV</t>
  </si>
  <si>
    <t>MAR</t>
  </si>
  <si>
    <t>ABR</t>
  </si>
  <si>
    <t>MAI</t>
  </si>
  <si>
    <t>JUN</t>
  </si>
  <si>
    <t>JUL</t>
  </si>
  <si>
    <t>AGO</t>
  </si>
  <si>
    <t>SET</t>
  </si>
  <si>
    <t>OUT</t>
  </si>
  <si>
    <t>NOV</t>
  </si>
  <si>
    <t>DEZ</t>
  </si>
  <si>
    <t>RECEITAS</t>
  </si>
  <si>
    <t>Repasse Contrato de Gestão (Custeio)</t>
  </si>
  <si>
    <t>PESSOAL</t>
  </si>
  <si>
    <t>1.</t>
  </si>
  <si>
    <t>RECURSOS HUMANOS - CLT FOLHA</t>
  </si>
  <si>
    <t>1.1.</t>
  </si>
  <si>
    <t>Administrativo/Assistencial</t>
  </si>
  <si>
    <t>1.2.</t>
  </si>
  <si>
    <t>1.3.</t>
  </si>
  <si>
    <t>INSS (Lançar funcionário + patronal)</t>
  </si>
  <si>
    <t>1.4.</t>
  </si>
  <si>
    <t>1.5.</t>
  </si>
  <si>
    <t>Benefícios (Vale T. total, Cesta Básica, Assistência Médica, etc)</t>
  </si>
  <si>
    <t>1.6.</t>
  </si>
  <si>
    <t>Obrigações Trabalhistas Pagas (férias + 13º + recisões pagas)</t>
  </si>
  <si>
    <t>OPERACIONAL</t>
  </si>
  <si>
    <t>2.</t>
  </si>
  <si>
    <t>MATERIAIS DE CONSUMO</t>
  </si>
  <si>
    <t>2.1.</t>
  </si>
  <si>
    <t>2.2.</t>
  </si>
  <si>
    <t>3.</t>
  </si>
  <si>
    <t>SERVIÇOS DE TERCEIROS</t>
  </si>
  <si>
    <t>3.2.</t>
  </si>
  <si>
    <t>3.4.</t>
  </si>
  <si>
    <t>4.</t>
  </si>
  <si>
    <t>Despesas Indiretas</t>
  </si>
  <si>
    <t>4.1.</t>
  </si>
  <si>
    <t>TOTAL DE DESPPESAS PESSOAL</t>
  </si>
  <si>
    <t>TOTAL DE DESPESAS OPERACIONAIS</t>
  </si>
  <si>
    <t>TOTAL GERAL DAS DESPPESAS (OPERACIONAIS + NÃO OPERACIONAIS)</t>
  </si>
  <si>
    <t>NOME DO RESPONSÁVEL PELA UNIDADE:</t>
  </si>
  <si>
    <t>ASSINATURA DO RESPONSÁVEL PELA UNIDADE:</t>
  </si>
  <si>
    <t>DATA:</t>
  </si>
  <si>
    <t>Despesas Fixas (Utilidades)</t>
  </si>
  <si>
    <t>TOTAL (RECEITA - DESPESAS)</t>
  </si>
  <si>
    <t>Diversos D.I.</t>
  </si>
  <si>
    <t>DIRETOR</t>
  </si>
  <si>
    <t>PROFESSORES</t>
  </si>
  <si>
    <t>VLR CONTRATO PER CAPITA</t>
  </si>
  <si>
    <t>Repasse Contrato de Gestão (investimentos)</t>
  </si>
  <si>
    <t>TOTAL DE RECURSOS DISPONÍVEIS</t>
  </si>
  <si>
    <t>Descritivo</t>
  </si>
  <si>
    <t>Valor Unit.</t>
  </si>
  <si>
    <t>Berçario I</t>
  </si>
  <si>
    <t>Maternal I</t>
  </si>
  <si>
    <t>3.1.</t>
  </si>
  <si>
    <t>Serviços Contábeis</t>
  </si>
  <si>
    <t>3.5.</t>
  </si>
  <si>
    <t>AUXILIAR DE LIMPEZA</t>
  </si>
  <si>
    <t>3.3.</t>
  </si>
  <si>
    <t>COORDENADOR PEDAGÓGICO</t>
  </si>
  <si>
    <t>AUXILIAR ADM</t>
  </si>
  <si>
    <t>AUXILIAR DE CLASSE</t>
  </si>
  <si>
    <t>PROFISSIONAL DE APOIO</t>
  </si>
  <si>
    <t>SOROCABA - EDUCAÇÃO INFANTIL - JORGE MOYSES</t>
  </si>
  <si>
    <t>Maternal II</t>
  </si>
  <si>
    <t>Maternal III</t>
  </si>
  <si>
    <t>Material Expediente</t>
  </si>
  <si>
    <t>Material Pedagógico</t>
  </si>
  <si>
    <t>2.3.</t>
  </si>
  <si>
    <t>Materiais para pequenos reparos/manutenção</t>
  </si>
  <si>
    <t>2.4.</t>
  </si>
  <si>
    <t>Materiais de limpeza e higiene</t>
  </si>
  <si>
    <t>Serviços de Manutenção de Equipamentos</t>
  </si>
  <si>
    <t>Serviços de Locação de Equipamentos</t>
  </si>
  <si>
    <t>Serviços de Manutenção e Pequenos Reparos Predial</t>
  </si>
  <si>
    <t>Exames  Ocupacionais  (Admissão/Demissão/Periódico/PPRA E PCMSO),  Uniformes de Segurança (EPI`S), Aquisição de Brinquedos  Pedagógicos, Aquisição de Utensílios de Cozinha, Aquisição de Materiais de Informatica Ex Tonners, Aquisição de Espelhos,  Aquisição de Tecidos,  Aquisição de Tapetes, Colchões, Colchonetes,  Cortinas,  Capa para Colchão, Serviços de Fotocópias,Correios,Chaveiro,Revelação Fotografias,Serviços Gráficos, Assinatura de Jornais e   Revistas  de  Cunho  Educacional,  Aquisição  e   Manutenção   de    Equipamentos,   Eletrodomésticos   e   Eletroeletrônico, Locação e Manutenção   de   Imóveis,   Aquisição, Locação e Manutenção  de     Mobiliário,     Aquisição    e    Manutenção   de    Equipamentos    de  Informática,  Manutenção  e  Aquisição  de  Relógio de  Ponto, Impostos e Taxas, Combustiveis e Outras Despesas Indiretas.</t>
  </si>
  <si>
    <t>DISSIDIO</t>
  </si>
  <si>
    <t>Quantidade</t>
  </si>
  <si>
    <t>Cargo/Função</t>
  </si>
  <si>
    <t>Carga horária</t>
  </si>
  <si>
    <t>Previdncia e FGTS</t>
  </si>
  <si>
    <t>Provisão</t>
  </si>
  <si>
    <t>Custo total Mensal</t>
  </si>
  <si>
    <t>Custo total Anual</t>
  </si>
  <si>
    <t>ADITAMENTO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</si>
</sst>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R$&quot;\ * #,##0.00_-;\-&quot;R$&quot;\ * #,##0.00_-;_-&quot;R$&quot;\ * &quot;-&quot;??_-;_-@_-"/>
    <numFmt numFmtId="43" formatCode="_-* #,##0.00_-;\-* #,##0.00_-;_-* &quot;-&quot;??_-;_-@_-"/>
    <numFmt numFmtId="164" formatCode="_-&quot;R$&quot;* #,##0.00_-;\-&quot;R$&quot;* #,##0.00_-;_-&quot;R$&quot;* &quot;-&quot;??_-;_-@_-"/>
    <numFmt numFmtId="165" formatCode="_-* #,##0_-;\-* #,##0_-;_-* &quot;-&quot;??_-;_-@_-"/>
    <numFmt numFmtId="166" formatCode="0.0%"/>
  </numFmts>
  <fonts count="31"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8"/>
      <name val="Calibri"/>
      <family val="2"/>
      <scheme val="minor"/>
    </font>
    <font>
      <b/>
      <sz val="14"/>
      <color theme="1"/>
      <name val="Calibri"/>
      <family val="2"/>
      <scheme val="minor"/>
    </font>
    <font>
      <sz val="9"/>
      <color theme="1"/>
      <name val="Calibri"/>
      <family val="2"/>
      <scheme val="minor"/>
    </font>
    <font>
      <sz val="11"/>
      <color theme="0"/>
      <name val="Calibri"/>
      <family val="2"/>
      <scheme val="minor"/>
    </font>
    <font>
      <b/>
      <sz val="10"/>
      <color rgb="FF000000"/>
      <name val="Arial"/>
      <family val="2"/>
      <charset val="1"/>
    </font>
    <font>
      <sz val="10"/>
      <color rgb="FF000000"/>
      <name val="Arial"/>
      <family val="2"/>
      <charset val="1"/>
    </font>
    <font>
      <u/>
      <sz val="11"/>
      <color theme="10"/>
      <name val="Calibri"/>
      <family val="2"/>
      <scheme val="minor"/>
    </font>
    <font>
      <u/>
      <sz val="11"/>
      <color theme="11"/>
      <name val="Calibri"/>
      <family val="2"/>
      <scheme val="minor"/>
    </font>
    <font>
      <b/>
      <sz val="11"/>
      <color theme="0"/>
      <name val="Arial"/>
      <family val="2"/>
    </font>
    <font>
      <sz val="14"/>
      <color theme="1"/>
      <name val="Calibri"/>
      <family val="2"/>
      <scheme val="minor"/>
    </font>
    <font>
      <b/>
      <sz val="16"/>
      <color theme="1"/>
      <name val="Calibri"/>
      <family val="2"/>
      <scheme val="minor"/>
    </font>
    <font>
      <sz val="9"/>
      <color theme="0"/>
      <name val="Calibri"/>
      <family val="2"/>
      <scheme val="minor"/>
    </font>
    <font>
      <b/>
      <sz val="12"/>
      <name val="Calibri"/>
      <family val="2"/>
      <scheme val="minor"/>
    </font>
    <font>
      <b/>
      <i/>
      <sz val="11"/>
      <color theme="0"/>
      <name val="Calibri"/>
      <family val="2"/>
      <scheme val="minor"/>
    </font>
    <font>
      <b/>
      <i/>
      <sz val="12"/>
      <color theme="0"/>
      <name val="Calibri"/>
      <family val="2"/>
      <scheme val="minor"/>
    </font>
    <font>
      <sz val="10"/>
      <color rgb="FF000000"/>
      <name val="Arial"/>
      <family val="2"/>
    </font>
    <font>
      <b/>
      <i/>
      <sz val="9"/>
      <name val="Calibri"/>
      <family val="2"/>
      <scheme val="minor"/>
    </font>
    <font>
      <sz val="8"/>
      <color theme="1"/>
      <name val="Calibri"/>
      <family val="2"/>
      <scheme val="minor"/>
    </font>
    <font>
      <b/>
      <sz val="10"/>
      <color rgb="FF000000"/>
      <name val="Arial"/>
      <family val="2"/>
    </font>
    <font>
      <b/>
      <sz val="8"/>
      <color theme="1"/>
      <name val="Calibri"/>
      <family val="2"/>
      <scheme val="minor"/>
    </font>
    <font>
      <sz val="11"/>
      <name val="Calibri"/>
      <family val="2"/>
      <scheme val="minor"/>
    </font>
    <font>
      <b/>
      <sz val="8"/>
      <color rgb="FFFF0000"/>
      <name val="Calibri"/>
      <family val="2"/>
      <scheme val="minor"/>
    </font>
    <font>
      <b/>
      <sz val="9"/>
      <color rgb="FF221F1F"/>
      <name val="Arial"/>
      <family val="2"/>
    </font>
    <font>
      <sz val="8"/>
      <color theme="1"/>
      <name val="Calibri"/>
      <family val="2"/>
    </font>
    <font>
      <b/>
      <sz val="8"/>
      <color theme="1"/>
      <name val="Calibri"/>
      <family val="2"/>
    </font>
    <font>
      <b/>
      <sz val="8"/>
      <color rgb="FF221F1F"/>
      <name val="Calibri"/>
      <family val="2"/>
    </font>
  </fonts>
  <fills count="16">
    <fill>
      <patternFill patternType="none"/>
    </fill>
    <fill>
      <patternFill patternType="gray125"/>
    </fill>
    <fill>
      <patternFill patternType="solid">
        <fgColor theme="5" tint="0.59999389629810485"/>
        <bgColor indexed="64"/>
      </patternFill>
    </fill>
    <fill>
      <patternFill patternType="solid">
        <fgColor theme="4"/>
        <bgColor indexed="64"/>
      </patternFill>
    </fill>
    <fill>
      <patternFill patternType="solid">
        <fgColor theme="3"/>
        <bgColor indexed="64"/>
      </patternFill>
    </fill>
    <fill>
      <patternFill patternType="solid">
        <fgColor theme="4" tint="0.39997558519241921"/>
        <bgColor indexed="64"/>
      </patternFill>
    </fill>
    <fill>
      <patternFill patternType="solid">
        <fgColor theme="3"/>
        <bgColor rgb="FF9999FF"/>
      </patternFill>
    </fill>
    <fill>
      <patternFill patternType="solid">
        <fgColor theme="3" tint="0.79998168889431442"/>
        <bgColor rgb="FFCCFFFF"/>
      </patternFill>
    </fill>
    <fill>
      <patternFill patternType="solid">
        <fgColor theme="0"/>
        <bgColor rgb="FFCCFFFF"/>
      </patternFill>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rgb="FFA7A9AC"/>
        <bgColor indexed="64"/>
      </patternFill>
    </fill>
    <fill>
      <patternFill patternType="solid">
        <fgColor rgb="FFF0F1F1"/>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style="thin">
        <color auto="1"/>
      </top>
      <bottom/>
      <diagonal/>
    </border>
    <border>
      <left style="medium">
        <color auto="1"/>
      </left>
      <right/>
      <top style="medium">
        <color auto="1"/>
      </top>
      <bottom style="thin">
        <color auto="1"/>
      </bottom>
      <diagonal/>
    </border>
    <border>
      <left style="medium">
        <color auto="1"/>
      </left>
      <right/>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auto="1"/>
      </left>
      <right style="medium">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double">
        <color auto="1"/>
      </bottom>
      <diagonal/>
    </border>
    <border>
      <left/>
      <right style="thin">
        <color auto="1"/>
      </right>
      <top/>
      <bottom style="medium">
        <color auto="1"/>
      </bottom>
      <diagonal/>
    </border>
    <border>
      <left style="medium">
        <color auto="1"/>
      </left>
      <right/>
      <top style="thin">
        <color auto="1"/>
      </top>
      <bottom style="double">
        <color auto="1"/>
      </bottom>
      <diagonal/>
    </border>
    <border>
      <left style="medium">
        <color indexed="64"/>
      </left>
      <right style="dotted">
        <color rgb="FF221F1F"/>
      </right>
      <top style="medium">
        <color indexed="64"/>
      </top>
      <bottom style="medium">
        <color indexed="64"/>
      </bottom>
      <diagonal/>
    </border>
    <border>
      <left/>
      <right style="dotted">
        <color rgb="FF221F1F"/>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rgb="FF221F1F"/>
      </right>
      <top style="medium">
        <color indexed="64"/>
      </top>
      <bottom style="dotted">
        <color indexed="64"/>
      </bottom>
      <diagonal/>
    </border>
    <border>
      <left/>
      <right style="dotted">
        <color rgb="FF221F1F"/>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dotted">
        <color rgb="FF221F1F"/>
      </right>
      <top style="dotted">
        <color indexed="64"/>
      </top>
      <bottom style="dotted">
        <color indexed="64"/>
      </bottom>
      <diagonal/>
    </border>
    <border>
      <left/>
      <right style="dotted">
        <color rgb="FF221F1F"/>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dotted">
        <color rgb="FF221F1F"/>
      </left>
      <right style="dotted">
        <color rgb="FF221F1F"/>
      </right>
      <top style="dotted">
        <color indexed="64"/>
      </top>
      <bottom style="dotted">
        <color indexed="64"/>
      </bottom>
      <diagonal/>
    </border>
    <border>
      <left/>
      <right style="dotted">
        <color rgb="FF221F1F"/>
      </right>
      <top style="medium">
        <color indexed="64"/>
      </top>
      <bottom/>
      <diagonal/>
    </border>
  </borders>
  <cellStyleXfs count="633">
    <xf numFmtId="0" fontId="0" fillId="0" borderId="0"/>
    <xf numFmtId="43" fontId="2" fillId="0" borderId="0" applyFont="0" applyFill="0" applyBorder="0" applyAlignment="0" applyProtection="0"/>
    <xf numFmtId="164" fontId="2"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9" fontId="2" fillId="0" borderId="0" applyFont="0" applyFill="0" applyBorder="0" applyAlignment="0" applyProtection="0"/>
    <xf numFmtId="44" fontId="2" fillId="0" borderId="0" applyFont="0" applyFill="0" applyBorder="0" applyAlignment="0" applyProtection="0"/>
  </cellStyleXfs>
  <cellXfs count="177">
    <xf numFmtId="0" fontId="0" fillId="0" borderId="0" xfId="0"/>
    <xf numFmtId="43" fontId="0" fillId="0" borderId="0" xfId="1" applyFont="1"/>
    <xf numFmtId="0" fontId="7" fillId="0" borderId="0" xfId="0" applyFont="1"/>
    <xf numFmtId="0" fontId="10" fillId="0" borderId="13" xfId="0" applyFont="1" applyBorder="1" applyAlignment="1">
      <alignment horizontal="left" vertical="center" wrapText="1" indent="1"/>
    </xf>
    <xf numFmtId="0" fontId="10" fillId="0" borderId="1" xfId="0" applyFont="1" applyBorder="1" applyAlignment="1">
      <alignment vertical="center" wrapText="1"/>
    </xf>
    <xf numFmtId="0" fontId="8" fillId="0" borderId="0" xfId="0" applyFont="1"/>
    <xf numFmtId="0" fontId="4" fillId="0" borderId="1" xfId="0" applyFont="1" applyBorder="1"/>
    <xf numFmtId="2" fontId="4" fillId="0" borderId="1" xfId="0" applyNumberFormat="1" applyFont="1" applyBorder="1"/>
    <xf numFmtId="43" fontId="4" fillId="0" borderId="1" xfId="1" applyFont="1" applyFill="1" applyBorder="1"/>
    <xf numFmtId="43" fontId="4" fillId="0" borderId="1" xfId="0" applyNumberFormat="1" applyFont="1" applyBorder="1"/>
    <xf numFmtId="164" fontId="0" fillId="0" borderId="0" xfId="0" applyNumberFormat="1"/>
    <xf numFmtId="0" fontId="0" fillId="0" borderId="0" xfId="0" applyAlignment="1">
      <alignment horizontal="center"/>
    </xf>
    <xf numFmtId="164" fontId="0" fillId="2" borderId="1" xfId="2" applyFont="1" applyFill="1" applyBorder="1"/>
    <xf numFmtId="0" fontId="0" fillId="0" borderId="1" xfId="0" applyBorder="1"/>
    <xf numFmtId="0" fontId="0" fillId="0" borderId="1" xfId="0" applyBorder="1" applyAlignment="1">
      <alignment horizontal="center"/>
    </xf>
    <xf numFmtId="164" fontId="0" fillId="0" borderId="1" xfId="2" applyFont="1" applyFill="1" applyBorder="1"/>
    <xf numFmtId="164" fontId="0" fillId="0" borderId="1" xfId="0" applyNumberFormat="1" applyBorder="1"/>
    <xf numFmtId="164" fontId="10" fillId="0" borderId="1" xfId="2" applyFont="1" applyBorder="1" applyAlignment="1">
      <alignment vertical="center" wrapText="1"/>
    </xf>
    <xf numFmtId="165" fontId="0" fillId="0" borderId="1" xfId="1" applyNumberFormat="1" applyFont="1" applyFill="1" applyBorder="1" applyAlignment="1">
      <alignment horizontal="center"/>
    </xf>
    <xf numFmtId="164" fontId="0" fillId="0" borderId="1" xfId="2" applyFont="1" applyFill="1" applyBorder="1" applyAlignment="1">
      <alignment horizontal="center"/>
    </xf>
    <xf numFmtId="164" fontId="10" fillId="0" borderId="14" xfId="2" applyFont="1" applyBorder="1" applyAlignment="1">
      <alignment vertical="center" wrapText="1"/>
    </xf>
    <xf numFmtId="43" fontId="16" fillId="0" borderId="0" xfId="0" applyNumberFormat="1" applyFont="1"/>
    <xf numFmtId="0" fontId="17" fillId="0" borderId="0" xfId="0" applyFont="1"/>
    <xf numFmtId="0" fontId="18" fillId="4" borderId="1" xfId="0" applyFont="1" applyFill="1" applyBorder="1" applyAlignment="1">
      <alignment horizontal="center"/>
    </xf>
    <xf numFmtId="43" fontId="18" fillId="4" borderId="1" xfId="1" applyFont="1" applyFill="1" applyBorder="1" applyAlignment="1">
      <alignment horizontal="center"/>
    </xf>
    <xf numFmtId="0" fontId="19" fillId="3" borderId="1" xfId="0" applyFont="1" applyFill="1" applyBorder="1"/>
    <xf numFmtId="0" fontId="19" fillId="3" borderId="3" xfId="0" applyFont="1" applyFill="1" applyBorder="1"/>
    <xf numFmtId="43" fontId="19" fillId="3" borderId="3" xfId="1" applyFont="1" applyFill="1" applyBorder="1"/>
    <xf numFmtId="0" fontId="18" fillId="0" borderId="0" xfId="0" applyFont="1"/>
    <xf numFmtId="0" fontId="3" fillId="5" borderId="1" xfId="0" applyFont="1" applyFill="1" applyBorder="1"/>
    <xf numFmtId="0" fontId="3" fillId="5" borderId="1" xfId="0" applyFont="1" applyFill="1" applyBorder="1" applyAlignment="1">
      <alignment horizontal="center"/>
    </xf>
    <xf numFmtId="164" fontId="3" fillId="5" borderId="1" xfId="0" applyNumberFormat="1" applyFont="1" applyFill="1" applyBorder="1"/>
    <xf numFmtId="0" fontId="13" fillId="6" borderId="8" xfId="0" applyFont="1" applyFill="1" applyBorder="1" applyAlignment="1">
      <alignment horizontal="center" vertical="center"/>
    </xf>
    <xf numFmtId="0" fontId="13" fillId="6" borderId="9" xfId="0" applyFont="1" applyFill="1" applyBorder="1" applyAlignment="1">
      <alignment horizontal="center" vertical="center"/>
    </xf>
    <xf numFmtId="164" fontId="9" fillId="7" borderId="11" xfId="2" applyFont="1" applyFill="1" applyBorder="1" applyAlignment="1">
      <alignment vertical="center" wrapText="1"/>
    </xf>
    <xf numFmtId="164" fontId="9" fillId="7" borderId="12" xfId="2" applyFont="1" applyFill="1" applyBorder="1" applyAlignment="1">
      <alignment vertical="center" wrapText="1"/>
    </xf>
    <xf numFmtId="164" fontId="9" fillId="7" borderId="6" xfId="2" applyFont="1" applyFill="1" applyBorder="1" applyAlignment="1">
      <alignment vertical="center" wrapText="1"/>
    </xf>
    <xf numFmtId="164" fontId="9" fillId="7" borderId="16" xfId="2" applyFont="1" applyFill="1" applyBorder="1" applyAlignment="1">
      <alignment vertical="center" wrapText="1"/>
    </xf>
    <xf numFmtId="164" fontId="9" fillId="7" borderId="17" xfId="2" applyFont="1" applyFill="1" applyBorder="1" applyAlignment="1">
      <alignment vertical="center" wrapText="1"/>
    </xf>
    <xf numFmtId="0" fontId="9" fillId="7" borderId="1" xfId="0" applyFont="1" applyFill="1" applyBorder="1" applyAlignment="1">
      <alignment vertical="center" wrapText="1"/>
    </xf>
    <xf numFmtId="0" fontId="20" fillId="8" borderId="1" xfId="0" applyFont="1" applyFill="1" applyBorder="1" applyAlignment="1">
      <alignment vertical="center" wrapText="1"/>
    </xf>
    <xf numFmtId="0" fontId="10" fillId="8" borderId="1" xfId="0" applyFont="1" applyFill="1" applyBorder="1" applyAlignment="1">
      <alignment vertical="center" wrapText="1"/>
    </xf>
    <xf numFmtId="43" fontId="0" fillId="0" borderId="1" xfId="1" applyFont="1" applyBorder="1"/>
    <xf numFmtId="43" fontId="0" fillId="0" borderId="0" xfId="1" applyFont="1" applyBorder="1"/>
    <xf numFmtId="43" fontId="13" fillId="6" borderId="7" xfId="1" applyFont="1" applyFill="1" applyBorder="1" applyAlignment="1">
      <alignment horizontal="center" vertical="center"/>
    </xf>
    <xf numFmtId="43" fontId="0" fillId="9" borderId="1" xfId="0" applyNumberFormat="1" applyFill="1" applyBorder="1"/>
    <xf numFmtId="43" fontId="10" fillId="8" borderId="1" xfId="0" applyNumberFormat="1" applyFont="1" applyFill="1" applyBorder="1" applyAlignment="1">
      <alignment vertical="center" wrapText="1"/>
    </xf>
    <xf numFmtId="43" fontId="0" fillId="0" borderId="1" xfId="0" applyNumberFormat="1" applyBorder="1"/>
    <xf numFmtId="43" fontId="9" fillId="7" borderId="1" xfId="1" applyFont="1" applyFill="1" applyBorder="1" applyAlignment="1">
      <alignment vertical="center" wrapText="1"/>
    </xf>
    <xf numFmtId="43" fontId="9" fillId="7" borderId="1" xfId="0" applyNumberFormat="1" applyFont="1" applyFill="1" applyBorder="1" applyAlignment="1">
      <alignment vertical="center" wrapText="1"/>
    </xf>
    <xf numFmtId="9" fontId="9" fillId="8" borderId="33" xfId="631" applyFont="1" applyFill="1" applyBorder="1" applyAlignment="1">
      <alignment vertical="center" wrapText="1"/>
    </xf>
    <xf numFmtId="0" fontId="3" fillId="0" borderId="0" xfId="0" applyFont="1"/>
    <xf numFmtId="9" fontId="3" fillId="0" borderId="0" xfId="631" applyFont="1" applyBorder="1"/>
    <xf numFmtId="9" fontId="3" fillId="10" borderId="0" xfId="631" applyFont="1" applyFill="1" applyBorder="1"/>
    <xf numFmtId="166" fontId="3" fillId="10" borderId="0" xfId="631" applyNumberFormat="1" applyFont="1" applyFill="1"/>
    <xf numFmtId="166" fontId="21" fillId="10" borderId="0" xfId="631" applyNumberFormat="1" applyFont="1" applyFill="1"/>
    <xf numFmtId="0" fontId="9" fillId="7" borderId="35" xfId="0" applyFont="1" applyFill="1" applyBorder="1" applyAlignment="1">
      <alignment horizontal="center" vertical="center" wrapText="1"/>
    </xf>
    <xf numFmtId="164" fontId="9" fillId="7" borderId="34" xfId="2" applyFont="1" applyFill="1" applyBorder="1" applyAlignment="1">
      <alignment vertical="center" wrapText="1"/>
    </xf>
    <xf numFmtId="43" fontId="22" fillId="0" borderId="0" xfId="1" applyFont="1"/>
    <xf numFmtId="10" fontId="0" fillId="0" borderId="0" xfId="631" applyNumberFormat="1" applyFont="1"/>
    <xf numFmtId="166" fontId="0" fillId="0" borderId="0" xfId="631" applyNumberFormat="1" applyFont="1"/>
    <xf numFmtId="0" fontId="4" fillId="0" borderId="1" xfId="0" applyFont="1" applyBorder="1" applyAlignment="1">
      <alignment horizontal="center"/>
    </xf>
    <xf numFmtId="0" fontId="10" fillId="0" borderId="18" xfId="0" applyFont="1" applyBorder="1" applyAlignment="1">
      <alignment horizontal="left" vertical="center" wrapText="1" indent="1"/>
    </xf>
    <xf numFmtId="0" fontId="10" fillId="0" borderId="6" xfId="0" applyFont="1" applyBorder="1" applyAlignment="1">
      <alignment vertical="center" wrapText="1"/>
    </xf>
    <xf numFmtId="164" fontId="10" fillId="0" borderId="6" xfId="2" applyFont="1" applyBorder="1" applyAlignment="1">
      <alignment vertical="center" wrapText="1"/>
    </xf>
    <xf numFmtId="164" fontId="10" fillId="0" borderId="21" xfId="2" applyFont="1" applyBorder="1" applyAlignment="1">
      <alignment vertical="center" wrapText="1"/>
    </xf>
    <xf numFmtId="0" fontId="18" fillId="4" borderId="1" xfId="0" applyFont="1" applyFill="1" applyBorder="1" applyAlignment="1">
      <alignment horizontal="center" vertical="center"/>
    </xf>
    <xf numFmtId="0" fontId="14" fillId="0" borderId="0" xfId="0" applyFont="1" applyAlignment="1">
      <alignment horizontal="center"/>
    </xf>
    <xf numFmtId="0" fontId="13" fillId="6" borderId="7" xfId="0" applyFont="1" applyFill="1" applyBorder="1" applyAlignment="1">
      <alignment horizontal="center" vertical="center"/>
    </xf>
    <xf numFmtId="0" fontId="0" fillId="0" borderId="0" xfId="0" applyAlignment="1">
      <alignment horizontal="left"/>
    </xf>
    <xf numFmtId="43" fontId="0" fillId="0" borderId="1" xfId="1" applyFont="1" applyFill="1" applyBorder="1"/>
    <xf numFmtId="44" fontId="3" fillId="0" borderId="0" xfId="0" applyNumberFormat="1" applyFont="1"/>
    <xf numFmtId="164" fontId="9" fillId="7" borderId="37" xfId="2" applyFont="1" applyFill="1" applyBorder="1" applyAlignment="1">
      <alignment vertical="center" wrapText="1"/>
    </xf>
    <xf numFmtId="164" fontId="9" fillId="7" borderId="36" xfId="2" applyFont="1" applyFill="1" applyBorder="1" applyAlignment="1">
      <alignment vertical="center" wrapText="1"/>
    </xf>
    <xf numFmtId="43" fontId="23" fillId="7" borderId="1" xfId="1" applyFont="1" applyFill="1" applyBorder="1" applyAlignment="1">
      <alignment horizontal="center" vertical="center" wrapText="1"/>
    </xf>
    <xf numFmtId="0" fontId="10" fillId="0" borderId="1" xfId="0" applyFont="1" applyBorder="1" applyAlignment="1">
      <alignment horizontal="center" vertical="center" wrapText="1"/>
    </xf>
    <xf numFmtId="0" fontId="24" fillId="11" borderId="1" xfId="0" applyFont="1" applyFill="1" applyBorder="1" applyAlignment="1">
      <alignment horizontal="center" vertical="center"/>
    </xf>
    <xf numFmtId="0" fontId="24" fillId="11" borderId="1" xfId="0" applyFont="1" applyFill="1" applyBorder="1" applyAlignment="1">
      <alignment horizontal="center" vertical="center" wrapText="1"/>
    </xf>
    <xf numFmtId="43" fontId="24" fillId="11" borderId="6" xfId="1" applyFont="1" applyFill="1" applyBorder="1"/>
    <xf numFmtId="43" fontId="24" fillId="11" borderId="6" xfId="0" applyNumberFormat="1" applyFont="1" applyFill="1" applyBorder="1"/>
    <xf numFmtId="164" fontId="4" fillId="0" borderId="1" xfId="2" applyFont="1" applyFill="1" applyBorder="1"/>
    <xf numFmtId="43" fontId="10" fillId="0" borderId="1" xfId="0" applyNumberFormat="1" applyFont="1" applyBorder="1" applyAlignment="1">
      <alignment vertical="center" wrapText="1"/>
    </xf>
    <xf numFmtId="43" fontId="0" fillId="13" borderId="1" xfId="0" applyNumberFormat="1" applyFill="1" applyBorder="1"/>
    <xf numFmtId="0" fontId="13" fillId="6" borderId="38" xfId="0" applyFont="1" applyFill="1" applyBorder="1" applyAlignment="1">
      <alignment horizontal="center" vertical="center"/>
    </xf>
    <xf numFmtId="0" fontId="9" fillId="7" borderId="39" xfId="0" applyFont="1" applyFill="1" applyBorder="1" applyAlignment="1">
      <alignment vertical="center" wrapText="1"/>
    </xf>
    <xf numFmtId="0" fontId="9" fillId="7" borderId="22" xfId="0" applyFont="1" applyFill="1" applyBorder="1" applyAlignment="1">
      <alignment vertical="center" wrapText="1"/>
    </xf>
    <xf numFmtId="0" fontId="9" fillId="7" borderId="40" xfId="0" applyFont="1" applyFill="1" applyBorder="1" applyAlignment="1">
      <alignment vertical="center" wrapText="1"/>
    </xf>
    <xf numFmtId="0" fontId="9" fillId="7" borderId="41" xfId="0" applyFont="1" applyFill="1" applyBorder="1" applyAlignment="1">
      <alignment horizontal="center" vertical="center" wrapText="1"/>
    </xf>
    <xf numFmtId="0" fontId="9" fillId="7" borderId="37" xfId="0" applyFont="1" applyFill="1" applyBorder="1" applyAlignment="1">
      <alignment vertical="center" wrapText="1"/>
    </xf>
    <xf numFmtId="0" fontId="20" fillId="0" borderId="1" xfId="0" applyFont="1" applyBorder="1" applyAlignment="1">
      <alignment vertical="center" wrapText="1"/>
    </xf>
    <xf numFmtId="1" fontId="0" fillId="0" borderId="0" xfId="0" applyNumberFormat="1" applyAlignment="1">
      <alignment horizontal="center"/>
    </xf>
    <xf numFmtId="1" fontId="3" fillId="0" borderId="0" xfId="0" applyNumberFormat="1" applyFont="1" applyAlignment="1">
      <alignment horizontal="center"/>
    </xf>
    <xf numFmtId="0" fontId="25" fillId="0" borderId="2" xfId="0" applyFont="1" applyBorder="1"/>
    <xf numFmtId="0" fontId="25" fillId="0" borderId="3" xfId="0" applyFont="1" applyBorder="1"/>
    <xf numFmtId="0" fontId="25" fillId="0" borderId="0" xfId="0" applyFont="1"/>
    <xf numFmtId="0" fontId="24" fillId="0" borderId="0" xfId="0" applyFont="1" applyAlignment="1">
      <alignment horizontal="center" vertical="center" wrapText="1"/>
    </xf>
    <xf numFmtId="43" fontId="24" fillId="0" borderId="0" xfId="0" applyNumberFormat="1" applyFont="1"/>
    <xf numFmtId="43" fontId="24" fillId="11" borderId="1" xfId="0" applyNumberFormat="1" applyFont="1" applyFill="1" applyBorder="1"/>
    <xf numFmtId="10" fontId="26" fillId="11" borderId="1" xfId="631" applyNumberFormat="1" applyFont="1" applyFill="1" applyBorder="1" applyAlignment="1">
      <alignment horizontal="center" vertical="center"/>
    </xf>
    <xf numFmtId="0" fontId="27" fillId="14" borderId="43" xfId="0" applyFont="1" applyFill="1" applyBorder="1" applyAlignment="1">
      <alignment horizontal="center" vertical="center" textRotation="90" wrapText="1"/>
    </xf>
    <xf numFmtId="0" fontId="27" fillId="14" borderId="44" xfId="0" applyFont="1" applyFill="1" applyBorder="1" applyAlignment="1">
      <alignment horizontal="center" vertical="center" textRotation="90" wrapText="1"/>
    </xf>
    <xf numFmtId="0" fontId="27" fillId="14" borderId="45" xfId="0" applyFont="1" applyFill="1" applyBorder="1" applyAlignment="1">
      <alignment horizontal="center" vertical="center" textRotation="90" wrapText="1"/>
    </xf>
    <xf numFmtId="0" fontId="28" fillId="15" borderId="46" xfId="0" applyFont="1" applyFill="1" applyBorder="1" applyAlignment="1">
      <alignment horizontal="center" vertical="center" wrapText="1"/>
    </xf>
    <xf numFmtId="0" fontId="28" fillId="15" borderId="47" xfId="0" applyFont="1" applyFill="1" applyBorder="1" applyAlignment="1">
      <alignment horizontal="center" vertical="center" wrapText="1"/>
    </xf>
    <xf numFmtId="43" fontId="28" fillId="15" borderId="47" xfId="1" applyFont="1" applyFill="1" applyBorder="1" applyAlignment="1">
      <alignment horizontal="center" vertical="center" wrapText="1"/>
    </xf>
    <xf numFmtId="4" fontId="28" fillId="15" borderId="47" xfId="0" applyNumberFormat="1" applyFont="1" applyFill="1" applyBorder="1" applyAlignment="1">
      <alignment horizontal="center" vertical="center" wrapText="1"/>
    </xf>
    <xf numFmtId="4" fontId="29" fillId="15" borderId="48" xfId="0" applyNumberFormat="1" applyFont="1" applyFill="1" applyBorder="1" applyAlignment="1">
      <alignment horizontal="center" vertical="center" wrapText="1"/>
    </xf>
    <xf numFmtId="0" fontId="28" fillId="15" borderId="49" xfId="0" applyFont="1" applyFill="1" applyBorder="1" applyAlignment="1">
      <alignment horizontal="center" vertical="center" wrapText="1"/>
    </xf>
    <xf numFmtId="0" fontId="28" fillId="15" borderId="50" xfId="0" applyFont="1" applyFill="1" applyBorder="1" applyAlignment="1">
      <alignment horizontal="center" vertical="center" wrapText="1"/>
    </xf>
    <xf numFmtId="43" fontId="28" fillId="15" borderId="50" xfId="1" applyFont="1" applyFill="1" applyBorder="1" applyAlignment="1">
      <alignment horizontal="center" vertical="center" wrapText="1"/>
    </xf>
    <xf numFmtId="4" fontId="28" fillId="15" borderId="50" xfId="0" applyNumberFormat="1" applyFont="1" applyFill="1" applyBorder="1" applyAlignment="1">
      <alignment horizontal="center" vertical="center" wrapText="1"/>
    </xf>
    <xf numFmtId="4" fontId="29" fillId="15" borderId="51" xfId="0" applyNumberFormat="1" applyFont="1" applyFill="1" applyBorder="1" applyAlignment="1">
      <alignment horizontal="center" vertical="center" wrapText="1"/>
    </xf>
    <xf numFmtId="0" fontId="30" fillId="15" borderId="52" xfId="0" applyFont="1" applyFill="1" applyBorder="1" applyAlignment="1">
      <alignment horizontal="center" vertical="center" wrapText="1"/>
    </xf>
    <xf numFmtId="4" fontId="29" fillId="15" borderId="44" xfId="0" applyNumberFormat="1" applyFont="1" applyFill="1" applyBorder="1" applyAlignment="1">
      <alignment horizontal="center" vertical="center" wrapText="1"/>
    </xf>
    <xf numFmtId="4" fontId="29" fillId="15" borderId="45" xfId="0" applyNumberFormat="1" applyFont="1" applyFill="1" applyBorder="1" applyAlignment="1">
      <alignment horizontal="center" vertical="center" wrapText="1"/>
    </xf>
    <xf numFmtId="4" fontId="28" fillId="15" borderId="55" xfId="0" applyNumberFormat="1" applyFont="1" applyFill="1" applyBorder="1" applyAlignment="1">
      <alignment horizontal="center" vertical="center" wrapText="1"/>
    </xf>
    <xf numFmtId="4" fontId="28" fillId="15" borderId="54" xfId="0" applyNumberFormat="1" applyFont="1" applyFill="1" applyBorder="1" applyAlignment="1">
      <alignment horizontal="center" vertical="center" wrapText="1"/>
    </xf>
    <xf numFmtId="0" fontId="8" fillId="0" borderId="0" xfId="0" applyFont="1" applyAlignment="1">
      <alignment horizontal="center"/>
    </xf>
    <xf numFmtId="1" fontId="8" fillId="0" borderId="0" xfId="1" applyNumberFormat="1" applyFont="1" applyAlignment="1">
      <alignment horizontal="center"/>
    </xf>
    <xf numFmtId="1" fontId="8" fillId="0" borderId="0" xfId="0" applyNumberFormat="1" applyFont="1" applyAlignment="1">
      <alignment horizontal="center"/>
    </xf>
    <xf numFmtId="0" fontId="0" fillId="0" borderId="5" xfId="0" applyBorder="1" applyAlignment="1">
      <alignment horizontal="center"/>
    </xf>
    <xf numFmtId="0" fontId="15" fillId="0" borderId="0" xfId="0" applyFont="1" applyAlignment="1">
      <alignment horizontal="center"/>
    </xf>
    <xf numFmtId="0" fontId="14" fillId="0" borderId="0" xfId="0" applyFont="1" applyAlignment="1">
      <alignment horizontal="center"/>
    </xf>
    <xf numFmtId="0" fontId="0" fillId="0" borderId="0" xfId="0" applyAlignment="1">
      <alignment horizontal="center"/>
    </xf>
    <xf numFmtId="0" fontId="18" fillId="4" borderId="24"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1" xfId="0" applyFont="1" applyFill="1" applyBorder="1" applyAlignment="1">
      <alignment horizontal="center" vertical="center"/>
    </xf>
    <xf numFmtId="0" fontId="18" fillId="4" borderId="1" xfId="0" applyFont="1" applyFill="1" applyBorder="1" applyAlignment="1">
      <alignment horizontal="center" vertical="center" wrapText="1"/>
    </xf>
    <xf numFmtId="0" fontId="18" fillId="4" borderId="2" xfId="0" applyFont="1" applyFill="1" applyBorder="1" applyAlignment="1">
      <alignment horizontal="center" vertical="center"/>
    </xf>
    <xf numFmtId="0" fontId="18" fillId="4" borderId="3" xfId="0" applyFont="1" applyFill="1" applyBorder="1" applyAlignment="1">
      <alignment horizontal="center" vertical="center"/>
    </xf>
    <xf numFmtId="0" fontId="18" fillId="4" borderId="4" xfId="0" applyFont="1" applyFill="1" applyBorder="1" applyAlignment="1">
      <alignment horizontal="center" vertical="center"/>
    </xf>
    <xf numFmtId="0" fontId="13" fillId="6" borderId="25" xfId="0" applyFont="1" applyFill="1" applyBorder="1" applyAlignment="1">
      <alignment horizontal="center" vertical="center"/>
    </xf>
    <xf numFmtId="0" fontId="13" fillId="6" borderId="19" xfId="0" applyFont="1" applyFill="1" applyBorder="1" applyAlignment="1">
      <alignment horizontal="center" vertical="center"/>
    </xf>
    <xf numFmtId="0" fontId="13" fillId="6" borderId="20" xfId="0" applyFont="1" applyFill="1" applyBorder="1" applyAlignment="1">
      <alignment horizontal="center" vertical="center"/>
    </xf>
    <xf numFmtId="0" fontId="6" fillId="0" borderId="0" xfId="0" applyFont="1" applyAlignment="1">
      <alignment horizontal="center"/>
    </xf>
    <xf numFmtId="0" fontId="0" fillId="0" borderId="0" xfId="0" applyAlignment="1">
      <alignment horizontal="left"/>
    </xf>
    <xf numFmtId="0" fontId="1" fillId="0" borderId="0" xfId="0" applyFont="1" applyAlignment="1">
      <alignment horizontal="center"/>
    </xf>
    <xf numFmtId="0" fontId="9" fillId="7" borderId="23" xfId="0" applyFont="1" applyFill="1" applyBorder="1" applyAlignment="1">
      <alignment horizontal="center" vertical="center" wrapText="1"/>
    </xf>
    <xf numFmtId="0" fontId="13" fillId="6" borderId="7" xfId="0" applyFont="1" applyFill="1" applyBorder="1" applyAlignment="1">
      <alignment horizontal="center" vertical="center"/>
    </xf>
    <xf numFmtId="0" fontId="9" fillId="7" borderId="10" xfId="0" applyFont="1" applyFill="1" applyBorder="1" applyAlignment="1">
      <alignment vertical="center" wrapText="1"/>
    </xf>
    <xf numFmtId="0" fontId="9" fillId="7" borderId="18" xfId="0" applyFont="1" applyFill="1" applyBorder="1" applyAlignment="1">
      <alignment vertical="center" wrapText="1"/>
    </xf>
    <xf numFmtId="0" fontId="9" fillId="7" borderId="15" xfId="0" applyFont="1" applyFill="1" applyBorder="1" applyAlignment="1">
      <alignment vertical="center" wrapText="1"/>
    </xf>
    <xf numFmtId="0" fontId="9" fillId="7" borderId="42" xfId="0" applyFont="1" applyFill="1" applyBorder="1" applyAlignment="1">
      <alignment vertical="center" wrapText="1"/>
    </xf>
    <xf numFmtId="43" fontId="0" fillId="0" borderId="24" xfId="1" applyFont="1" applyBorder="1" applyAlignment="1">
      <alignment horizontal="center" vertical="center"/>
    </xf>
    <xf numFmtId="43" fontId="0" fillId="0" borderId="33" xfId="1" applyFont="1" applyBorder="1" applyAlignment="1">
      <alignment horizontal="center" vertical="center"/>
    </xf>
    <xf numFmtId="0" fontId="20" fillId="8" borderId="24" xfId="0" applyFont="1" applyFill="1" applyBorder="1" applyAlignment="1">
      <alignment horizontal="left" vertical="center" wrapText="1"/>
    </xf>
    <xf numFmtId="0" fontId="20" fillId="8" borderId="33" xfId="0" applyFont="1" applyFill="1" applyBorder="1" applyAlignment="1">
      <alignment horizontal="left" vertical="center" wrapText="1"/>
    </xf>
    <xf numFmtId="43" fontId="9" fillId="7" borderId="2" xfId="1" applyFont="1" applyFill="1" applyBorder="1" applyAlignment="1">
      <alignment horizontal="center" vertical="center" wrapText="1"/>
    </xf>
    <xf numFmtId="43" fontId="9" fillId="7" borderId="3" xfId="1" applyFont="1" applyFill="1" applyBorder="1" applyAlignment="1">
      <alignment horizontal="center" vertical="center" wrapText="1"/>
    </xf>
    <xf numFmtId="43" fontId="9" fillId="7" borderId="4" xfId="1" applyFont="1" applyFill="1" applyBorder="1" applyAlignment="1">
      <alignment horizontal="center" vertical="center" wrapText="1"/>
    </xf>
    <xf numFmtId="0" fontId="9" fillId="7" borderId="1" xfId="0" applyFont="1" applyFill="1" applyBorder="1" applyAlignment="1">
      <alignment horizontal="left" vertical="center" wrapText="1"/>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2" xfId="0" applyBorder="1" applyAlignment="1">
      <alignment horizontal="center"/>
    </xf>
    <xf numFmtId="0" fontId="0" fillId="0" borderId="1" xfId="0" applyBorder="1" applyAlignment="1">
      <alignment horizontal="center"/>
    </xf>
    <xf numFmtId="0" fontId="9" fillId="7" borderId="29" xfId="0" applyFont="1" applyFill="1" applyBorder="1" applyAlignment="1">
      <alignment horizontal="left" vertical="center" wrapText="1"/>
    </xf>
    <xf numFmtId="0" fontId="9" fillId="7" borderId="31" xfId="0" applyFont="1" applyFill="1" applyBorder="1" applyAlignment="1">
      <alignment horizontal="left" vertical="center" wrapText="1"/>
    </xf>
    <xf numFmtId="0" fontId="9" fillId="7" borderId="32" xfId="0" applyFont="1" applyFill="1" applyBorder="1" applyAlignment="1">
      <alignment horizontal="left" vertical="center" wrapText="1"/>
    </xf>
    <xf numFmtId="0" fontId="9" fillId="7" borderId="22" xfId="0" applyFont="1" applyFill="1" applyBorder="1" applyAlignment="1">
      <alignment horizontal="left" vertical="center" wrapText="1"/>
    </xf>
    <xf numFmtId="0" fontId="9" fillId="7" borderId="2" xfId="0" applyFont="1" applyFill="1" applyBorder="1" applyAlignment="1">
      <alignment horizontal="left" vertical="center" wrapText="1"/>
    </xf>
    <xf numFmtId="0" fontId="9" fillId="7" borderId="4" xfId="0" applyFont="1" applyFill="1" applyBorder="1" applyAlignment="1">
      <alignment horizontal="left" vertical="center" wrapText="1"/>
    </xf>
    <xf numFmtId="0" fontId="9" fillId="7" borderId="2"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13" fillId="6" borderId="26" xfId="0" applyFont="1" applyFill="1" applyBorder="1" applyAlignment="1">
      <alignment horizontal="center" vertical="center"/>
    </xf>
    <xf numFmtId="0" fontId="13" fillId="6" borderId="0" xfId="0" applyFont="1" applyFill="1" applyAlignment="1">
      <alignment horizontal="center" vertical="center"/>
    </xf>
    <xf numFmtId="0" fontId="9" fillId="7" borderId="26" xfId="0" applyFont="1" applyFill="1" applyBorder="1" applyAlignment="1">
      <alignment horizontal="left" vertical="center" wrapText="1"/>
    </xf>
    <xf numFmtId="0" fontId="9" fillId="7" borderId="0" xfId="0" applyFont="1" applyFill="1" applyAlignment="1">
      <alignment horizontal="left" vertical="center" wrapText="1"/>
    </xf>
    <xf numFmtId="0" fontId="0" fillId="12" borderId="2" xfId="0" applyFill="1" applyBorder="1" applyAlignment="1">
      <alignment horizontal="center"/>
    </xf>
    <xf numFmtId="0" fontId="0" fillId="12" borderId="3" xfId="0" applyFill="1" applyBorder="1" applyAlignment="1">
      <alignment horizontal="center"/>
    </xf>
    <xf numFmtId="0" fontId="0" fillId="12" borderId="4" xfId="0" applyFill="1" applyBorder="1" applyAlignment="1">
      <alignment horizontal="center"/>
    </xf>
    <xf numFmtId="0" fontId="13" fillId="6" borderId="27" xfId="0" applyFont="1" applyFill="1" applyBorder="1" applyAlignment="1">
      <alignment horizontal="center" vertical="center"/>
    </xf>
    <xf numFmtId="0" fontId="13" fillId="6" borderId="28" xfId="0" applyFont="1" applyFill="1" applyBorder="1" applyAlignment="1">
      <alignment horizontal="center" vertical="center"/>
    </xf>
    <xf numFmtId="0" fontId="30" fillId="15" borderId="53" xfId="0" applyFont="1" applyFill="1" applyBorder="1" applyAlignment="1">
      <alignment horizontal="center" vertical="center" wrapText="1"/>
    </xf>
    <xf numFmtId="0" fontId="30" fillId="15" borderId="44" xfId="0" applyFont="1" applyFill="1" applyBorder="1" applyAlignment="1">
      <alignment horizontal="center" vertical="center" wrapText="1"/>
    </xf>
  </cellXfs>
  <cellStyles count="633">
    <cellStyle name="Hiperlink" xfId="185" builtinId="8" hidden="1"/>
    <cellStyle name="Hiperlink" xfId="193" builtinId="8" hidden="1"/>
    <cellStyle name="Hiperlink" xfId="201" builtinId="8" hidden="1"/>
    <cellStyle name="Hiperlink" xfId="209" builtinId="8" hidden="1"/>
    <cellStyle name="Hiperlink" xfId="217" builtinId="8" hidden="1"/>
    <cellStyle name="Hiperlink" xfId="225" builtinId="8" hidden="1"/>
    <cellStyle name="Hiperlink" xfId="233" builtinId="8" hidden="1"/>
    <cellStyle name="Hiperlink" xfId="241" builtinId="8" hidden="1"/>
    <cellStyle name="Hiperlink" xfId="249" builtinId="8" hidden="1"/>
    <cellStyle name="Hiperlink" xfId="257" builtinId="8" hidden="1"/>
    <cellStyle name="Hiperlink" xfId="265" builtinId="8" hidden="1"/>
    <cellStyle name="Hiperlink" xfId="273" builtinId="8" hidden="1"/>
    <cellStyle name="Hiperlink" xfId="281" builtinId="8" hidden="1"/>
    <cellStyle name="Hiperlink" xfId="289" builtinId="8" hidden="1"/>
    <cellStyle name="Hiperlink" xfId="297" builtinId="8" hidden="1"/>
    <cellStyle name="Hiperlink" xfId="305" builtinId="8" hidden="1"/>
    <cellStyle name="Hiperlink" xfId="313" builtinId="8" hidden="1"/>
    <cellStyle name="Hiperlink" xfId="321" builtinId="8" hidden="1"/>
    <cellStyle name="Hiperlink" xfId="329" builtinId="8" hidden="1"/>
    <cellStyle name="Hiperlink" xfId="337" builtinId="8" hidden="1"/>
    <cellStyle name="Hiperlink" xfId="345" builtinId="8" hidden="1"/>
    <cellStyle name="Hiperlink" xfId="353" builtinId="8" hidden="1"/>
    <cellStyle name="Hiperlink" xfId="361" builtinId="8" hidden="1"/>
    <cellStyle name="Hiperlink" xfId="369" builtinId="8" hidden="1"/>
    <cellStyle name="Hiperlink" xfId="377" builtinId="8" hidden="1"/>
    <cellStyle name="Hiperlink" xfId="385" builtinId="8" hidden="1"/>
    <cellStyle name="Hiperlink" xfId="393" builtinId="8" hidden="1"/>
    <cellStyle name="Hiperlink" xfId="401" builtinId="8" hidden="1"/>
    <cellStyle name="Hiperlink" xfId="409" builtinId="8" hidden="1"/>
    <cellStyle name="Hiperlink" xfId="417" builtinId="8" hidden="1"/>
    <cellStyle name="Hiperlink" xfId="425" builtinId="8" hidden="1"/>
    <cellStyle name="Hiperlink" xfId="433" builtinId="8" hidden="1"/>
    <cellStyle name="Hiperlink" xfId="441" builtinId="8" hidden="1"/>
    <cellStyle name="Hiperlink" xfId="449" builtinId="8" hidden="1"/>
    <cellStyle name="Hiperlink" xfId="457" builtinId="8" hidden="1"/>
    <cellStyle name="Hiperlink" xfId="465" builtinId="8" hidden="1"/>
    <cellStyle name="Hiperlink" xfId="473" builtinId="8" hidden="1"/>
    <cellStyle name="Hiperlink" xfId="481" builtinId="8" hidden="1"/>
    <cellStyle name="Hiperlink" xfId="489" builtinId="8" hidden="1"/>
    <cellStyle name="Hiperlink" xfId="497" builtinId="8" hidden="1"/>
    <cellStyle name="Hiperlink" xfId="505" builtinId="8" hidden="1"/>
    <cellStyle name="Hiperlink" xfId="513" builtinId="8" hidden="1"/>
    <cellStyle name="Hiperlink" xfId="521" builtinId="8" hidden="1"/>
    <cellStyle name="Hiperlink" xfId="529" builtinId="8" hidden="1"/>
    <cellStyle name="Hiperlink" xfId="537" builtinId="8" hidden="1"/>
    <cellStyle name="Hiperlink" xfId="545" builtinId="8" hidden="1"/>
    <cellStyle name="Hiperlink" xfId="553" builtinId="8" hidden="1"/>
    <cellStyle name="Hiperlink" xfId="561" builtinId="8" hidden="1"/>
    <cellStyle name="Hiperlink" xfId="569" builtinId="8" hidden="1"/>
    <cellStyle name="Hiperlink" xfId="577" builtinId="8" hidden="1"/>
    <cellStyle name="Hiperlink" xfId="585" builtinId="8" hidden="1"/>
    <cellStyle name="Hiperlink" xfId="593" builtinId="8" hidden="1"/>
    <cellStyle name="Hiperlink" xfId="601" builtinId="8" hidden="1"/>
    <cellStyle name="Hiperlink" xfId="609" builtinId="8" hidden="1"/>
    <cellStyle name="Hiperlink" xfId="617" builtinId="8" hidden="1"/>
    <cellStyle name="Hiperlink" xfId="625" builtinId="8" hidden="1"/>
    <cellStyle name="Hiperlink" xfId="627" builtinId="8" hidden="1"/>
    <cellStyle name="Hiperlink" xfId="619" builtinId="8" hidden="1"/>
    <cellStyle name="Hiperlink" xfId="611" builtinId="8" hidden="1"/>
    <cellStyle name="Hiperlink" xfId="603" builtinId="8" hidden="1"/>
    <cellStyle name="Hiperlink" xfId="595" builtinId="8" hidden="1"/>
    <cellStyle name="Hiperlink" xfId="587" builtinId="8" hidden="1"/>
    <cellStyle name="Hiperlink" xfId="579" builtinId="8" hidden="1"/>
    <cellStyle name="Hiperlink" xfId="571" builtinId="8" hidden="1"/>
    <cellStyle name="Hiperlink" xfId="563" builtinId="8" hidden="1"/>
    <cellStyle name="Hiperlink" xfId="555" builtinId="8" hidden="1"/>
    <cellStyle name="Hiperlink" xfId="547" builtinId="8" hidden="1"/>
    <cellStyle name="Hiperlink" xfId="539" builtinId="8" hidden="1"/>
    <cellStyle name="Hiperlink" xfId="531" builtinId="8" hidden="1"/>
    <cellStyle name="Hiperlink" xfId="523" builtinId="8" hidden="1"/>
    <cellStyle name="Hiperlink" xfId="515" builtinId="8" hidden="1"/>
    <cellStyle name="Hiperlink" xfId="507" builtinId="8" hidden="1"/>
    <cellStyle name="Hiperlink" xfId="499" builtinId="8" hidden="1"/>
    <cellStyle name="Hiperlink" xfId="491" builtinId="8" hidden="1"/>
    <cellStyle name="Hiperlink" xfId="483" builtinId="8" hidden="1"/>
    <cellStyle name="Hiperlink" xfId="475" builtinId="8" hidden="1"/>
    <cellStyle name="Hiperlink" xfId="467" builtinId="8" hidden="1"/>
    <cellStyle name="Hiperlink" xfId="459" builtinId="8" hidden="1"/>
    <cellStyle name="Hiperlink" xfId="451" builtinId="8" hidden="1"/>
    <cellStyle name="Hiperlink" xfId="443" builtinId="8" hidden="1"/>
    <cellStyle name="Hiperlink" xfId="435" builtinId="8" hidden="1"/>
    <cellStyle name="Hiperlink" xfId="427" builtinId="8" hidden="1"/>
    <cellStyle name="Hiperlink" xfId="419" builtinId="8" hidden="1"/>
    <cellStyle name="Hiperlink" xfId="411" builtinId="8" hidden="1"/>
    <cellStyle name="Hiperlink" xfId="403" builtinId="8" hidden="1"/>
    <cellStyle name="Hiperlink" xfId="395" builtinId="8" hidden="1"/>
    <cellStyle name="Hiperlink" xfId="387" builtinId="8" hidden="1"/>
    <cellStyle name="Hiperlink" xfId="379" builtinId="8" hidden="1"/>
    <cellStyle name="Hiperlink" xfId="371" builtinId="8" hidden="1"/>
    <cellStyle name="Hiperlink" xfId="363" builtinId="8" hidden="1"/>
    <cellStyle name="Hiperlink" xfId="355" builtinId="8" hidden="1"/>
    <cellStyle name="Hiperlink" xfId="347" builtinId="8" hidden="1"/>
    <cellStyle name="Hiperlink" xfId="339" builtinId="8" hidden="1"/>
    <cellStyle name="Hiperlink" xfId="331" builtinId="8" hidden="1"/>
    <cellStyle name="Hiperlink" xfId="323" builtinId="8" hidden="1"/>
    <cellStyle name="Hiperlink" xfId="315" builtinId="8" hidden="1"/>
    <cellStyle name="Hiperlink" xfId="307" builtinId="8" hidden="1"/>
    <cellStyle name="Hiperlink" xfId="299" builtinId="8" hidden="1"/>
    <cellStyle name="Hiperlink" xfId="291" builtinId="8" hidden="1"/>
    <cellStyle name="Hiperlink" xfId="283" builtinId="8" hidden="1"/>
    <cellStyle name="Hiperlink" xfId="275" builtinId="8" hidden="1"/>
    <cellStyle name="Hiperlink" xfId="267" builtinId="8" hidden="1"/>
    <cellStyle name="Hiperlink" xfId="259" builtinId="8" hidden="1"/>
    <cellStyle name="Hiperlink" xfId="251" builtinId="8" hidden="1"/>
    <cellStyle name="Hiperlink" xfId="243" builtinId="8" hidden="1"/>
    <cellStyle name="Hiperlink" xfId="235" builtinId="8" hidden="1"/>
    <cellStyle name="Hiperlink" xfId="227" builtinId="8" hidden="1"/>
    <cellStyle name="Hiperlink" xfId="219" builtinId="8" hidden="1"/>
    <cellStyle name="Hiperlink" xfId="211" builtinId="8" hidden="1"/>
    <cellStyle name="Hiperlink" xfId="203" builtinId="8" hidden="1"/>
    <cellStyle name="Hiperlink" xfId="195" builtinId="8" hidden="1"/>
    <cellStyle name="Hiperlink" xfId="187" builtinId="8" hidden="1"/>
    <cellStyle name="Hiperlink" xfId="179" builtinId="8" hidden="1"/>
    <cellStyle name="Hiperlink" xfId="171" builtinId="8" hidden="1"/>
    <cellStyle name="Hiperlink" xfId="163" builtinId="8" hidden="1"/>
    <cellStyle name="Hiperlink" xfId="155" builtinId="8" hidden="1"/>
    <cellStyle name="Hiperlink" xfId="147" builtinId="8" hidden="1"/>
    <cellStyle name="Hiperlink" xfId="139" builtinId="8" hidden="1"/>
    <cellStyle name="Hiperlink" xfId="131" builtinId="8" hidden="1"/>
    <cellStyle name="Hiperlink" xfId="123" builtinId="8" hidden="1"/>
    <cellStyle name="Hiperlink" xfId="115" builtinId="8" hidden="1"/>
    <cellStyle name="Hiperlink" xfId="107" builtinId="8" hidden="1"/>
    <cellStyle name="Hiperlink" xfId="99" builtinId="8" hidden="1"/>
    <cellStyle name="Hiperlink" xfId="91" builtinId="8" hidden="1"/>
    <cellStyle name="Hiperlink" xfId="83" builtinId="8" hidden="1"/>
    <cellStyle name="Hiperlink" xfId="75" builtinId="8" hidden="1"/>
    <cellStyle name="Hiperlink" xfId="67" builtinId="8" hidden="1"/>
    <cellStyle name="Hiperlink" xfId="23" builtinId="8" hidden="1"/>
    <cellStyle name="Hiperlink" xfId="29" builtinId="8" hidden="1"/>
    <cellStyle name="Hiperlink" xfId="33" builtinId="8" hidden="1"/>
    <cellStyle name="Hiperlink" xfId="39" builtinId="8" hidden="1"/>
    <cellStyle name="Hiperlink" xfId="45" builtinId="8" hidden="1"/>
    <cellStyle name="Hiperlink" xfId="49" builtinId="8" hidden="1"/>
    <cellStyle name="Hiperlink" xfId="55" builtinId="8" hidden="1"/>
    <cellStyle name="Hiperlink" xfId="61" builtinId="8" hidden="1"/>
    <cellStyle name="Hiperlink" xfId="51" builtinId="8" hidden="1"/>
    <cellStyle name="Hiperlink" xfId="35" builtinId="8" hidden="1"/>
    <cellStyle name="Hiperlink" xfId="11" builtinId="8" hidden="1"/>
    <cellStyle name="Hiperlink" xfId="15" builtinId="8" hidden="1"/>
    <cellStyle name="Hiperlink" xfId="21" builtinId="8" hidden="1"/>
    <cellStyle name="Hiperlink" xfId="7" builtinId="8" hidden="1"/>
    <cellStyle name="Hiperlink" xfId="5" builtinId="8" hidden="1"/>
    <cellStyle name="Hiperlink" xfId="3" builtinId="8" hidden="1"/>
    <cellStyle name="Hiperlink" xfId="9" builtinId="8" hidden="1"/>
    <cellStyle name="Hiperlink" xfId="19" builtinId="8" hidden="1"/>
    <cellStyle name="Hiperlink" xfId="17" builtinId="8" hidden="1"/>
    <cellStyle name="Hiperlink" xfId="13" builtinId="8" hidden="1"/>
    <cellStyle name="Hiperlink" xfId="27" builtinId="8" hidden="1"/>
    <cellStyle name="Hiperlink" xfId="43" builtinId="8" hidden="1"/>
    <cellStyle name="Hiperlink" xfId="59" builtinId="8" hidden="1"/>
    <cellStyle name="Hiperlink" xfId="57" builtinId="8" hidden="1"/>
    <cellStyle name="Hiperlink" xfId="53" builtinId="8" hidden="1"/>
    <cellStyle name="Hiperlink" xfId="47" builtinId="8" hidden="1"/>
    <cellStyle name="Hiperlink" xfId="41" builtinId="8" hidden="1"/>
    <cellStyle name="Hiperlink" xfId="37" builtinId="8" hidden="1"/>
    <cellStyle name="Hiperlink" xfId="31" builtinId="8" hidden="1"/>
    <cellStyle name="Hiperlink" xfId="25" builtinId="8" hidden="1"/>
    <cellStyle name="Hiperlink" xfId="63" builtinId="8" hidden="1"/>
    <cellStyle name="Hiperlink" xfId="71" builtinId="8" hidden="1"/>
    <cellStyle name="Hiperlink" xfId="79" builtinId="8" hidden="1"/>
    <cellStyle name="Hiperlink" xfId="87" builtinId="8" hidden="1"/>
    <cellStyle name="Hiperlink" xfId="95" builtinId="8" hidden="1"/>
    <cellStyle name="Hiperlink" xfId="103" builtinId="8" hidden="1"/>
    <cellStyle name="Hiperlink" xfId="111" builtinId="8" hidden="1"/>
    <cellStyle name="Hiperlink" xfId="119" builtinId="8" hidden="1"/>
    <cellStyle name="Hiperlink" xfId="127" builtinId="8" hidden="1"/>
    <cellStyle name="Hiperlink" xfId="135" builtinId="8" hidden="1"/>
    <cellStyle name="Hiperlink" xfId="143" builtinId="8" hidden="1"/>
    <cellStyle name="Hiperlink" xfId="151" builtinId="8" hidden="1"/>
    <cellStyle name="Hiperlink" xfId="159" builtinId="8" hidden="1"/>
    <cellStyle name="Hiperlink" xfId="167" builtinId="8" hidden="1"/>
    <cellStyle name="Hiperlink" xfId="175" builtinId="8" hidden="1"/>
    <cellStyle name="Hiperlink" xfId="183" builtinId="8" hidden="1"/>
    <cellStyle name="Hiperlink" xfId="191" builtinId="8" hidden="1"/>
    <cellStyle name="Hiperlink" xfId="199" builtinId="8" hidden="1"/>
    <cellStyle name="Hiperlink" xfId="207" builtinId="8" hidden="1"/>
    <cellStyle name="Hiperlink" xfId="215" builtinId="8" hidden="1"/>
    <cellStyle name="Hiperlink" xfId="223" builtinId="8" hidden="1"/>
    <cellStyle name="Hiperlink" xfId="231" builtinId="8" hidden="1"/>
    <cellStyle name="Hiperlink" xfId="239" builtinId="8" hidden="1"/>
    <cellStyle name="Hiperlink" xfId="247" builtinId="8" hidden="1"/>
    <cellStyle name="Hiperlink" xfId="255" builtinId="8" hidden="1"/>
    <cellStyle name="Hiperlink" xfId="263" builtinId="8" hidden="1"/>
    <cellStyle name="Hiperlink" xfId="271" builtinId="8" hidden="1"/>
    <cellStyle name="Hiperlink" xfId="279" builtinId="8" hidden="1"/>
    <cellStyle name="Hiperlink" xfId="287" builtinId="8" hidden="1"/>
    <cellStyle name="Hiperlink" xfId="295" builtinId="8" hidden="1"/>
    <cellStyle name="Hiperlink" xfId="303" builtinId="8" hidden="1"/>
    <cellStyle name="Hiperlink" xfId="311" builtinId="8" hidden="1"/>
    <cellStyle name="Hiperlink" xfId="319" builtinId="8" hidden="1"/>
    <cellStyle name="Hiperlink" xfId="327" builtinId="8" hidden="1"/>
    <cellStyle name="Hiperlink" xfId="335" builtinId="8" hidden="1"/>
    <cellStyle name="Hiperlink" xfId="343" builtinId="8" hidden="1"/>
    <cellStyle name="Hiperlink" xfId="351" builtinId="8" hidden="1"/>
    <cellStyle name="Hiperlink" xfId="359" builtinId="8" hidden="1"/>
    <cellStyle name="Hiperlink" xfId="367" builtinId="8" hidden="1"/>
    <cellStyle name="Hiperlink" xfId="375" builtinId="8" hidden="1"/>
    <cellStyle name="Hiperlink" xfId="383" builtinId="8" hidden="1"/>
    <cellStyle name="Hiperlink" xfId="391" builtinId="8" hidden="1"/>
    <cellStyle name="Hiperlink" xfId="399" builtinId="8" hidden="1"/>
    <cellStyle name="Hiperlink" xfId="407" builtinId="8" hidden="1"/>
    <cellStyle name="Hiperlink" xfId="415" builtinId="8" hidden="1"/>
    <cellStyle name="Hiperlink" xfId="423" builtinId="8" hidden="1"/>
    <cellStyle name="Hiperlink" xfId="431" builtinId="8" hidden="1"/>
    <cellStyle name="Hiperlink" xfId="439" builtinId="8" hidden="1"/>
    <cellStyle name="Hiperlink" xfId="447" builtinId="8" hidden="1"/>
    <cellStyle name="Hiperlink" xfId="455" builtinId="8" hidden="1"/>
    <cellStyle name="Hiperlink" xfId="463" builtinId="8" hidden="1"/>
    <cellStyle name="Hiperlink" xfId="471" builtinId="8" hidden="1"/>
    <cellStyle name="Hiperlink" xfId="479" builtinId="8" hidden="1"/>
    <cellStyle name="Hiperlink" xfId="487" builtinId="8" hidden="1"/>
    <cellStyle name="Hiperlink" xfId="495" builtinId="8" hidden="1"/>
    <cellStyle name="Hiperlink" xfId="503" builtinId="8" hidden="1"/>
    <cellStyle name="Hiperlink" xfId="511" builtinId="8" hidden="1"/>
    <cellStyle name="Hiperlink" xfId="519" builtinId="8" hidden="1"/>
    <cellStyle name="Hiperlink" xfId="527" builtinId="8" hidden="1"/>
    <cellStyle name="Hiperlink" xfId="535" builtinId="8" hidden="1"/>
    <cellStyle name="Hiperlink" xfId="543" builtinId="8" hidden="1"/>
    <cellStyle name="Hiperlink" xfId="551" builtinId="8" hidden="1"/>
    <cellStyle name="Hiperlink" xfId="559" builtinId="8" hidden="1"/>
    <cellStyle name="Hiperlink" xfId="567" builtinId="8" hidden="1"/>
    <cellStyle name="Hiperlink" xfId="575" builtinId="8" hidden="1"/>
    <cellStyle name="Hiperlink" xfId="583" builtinId="8" hidden="1"/>
    <cellStyle name="Hiperlink" xfId="591" builtinId="8" hidden="1"/>
    <cellStyle name="Hiperlink" xfId="599" builtinId="8" hidden="1"/>
    <cellStyle name="Hiperlink" xfId="607" builtinId="8" hidden="1"/>
    <cellStyle name="Hiperlink" xfId="615" builtinId="8" hidden="1"/>
    <cellStyle name="Hiperlink" xfId="623" builtinId="8" hidden="1"/>
    <cellStyle name="Hiperlink" xfId="629" builtinId="8" hidden="1"/>
    <cellStyle name="Hiperlink" xfId="621" builtinId="8" hidden="1"/>
    <cellStyle name="Hiperlink" xfId="613" builtinId="8" hidden="1"/>
    <cellStyle name="Hiperlink" xfId="605" builtinId="8" hidden="1"/>
    <cellStyle name="Hiperlink" xfId="597" builtinId="8" hidden="1"/>
    <cellStyle name="Hiperlink" xfId="589" builtinId="8" hidden="1"/>
    <cellStyle name="Hiperlink" xfId="581" builtinId="8" hidden="1"/>
    <cellStyle name="Hiperlink" xfId="573" builtinId="8" hidden="1"/>
    <cellStyle name="Hiperlink" xfId="565" builtinId="8" hidden="1"/>
    <cellStyle name="Hiperlink" xfId="557" builtinId="8" hidden="1"/>
    <cellStyle name="Hiperlink" xfId="549" builtinId="8" hidden="1"/>
    <cellStyle name="Hiperlink" xfId="541" builtinId="8" hidden="1"/>
    <cellStyle name="Hiperlink" xfId="533" builtinId="8" hidden="1"/>
    <cellStyle name="Hiperlink" xfId="525" builtinId="8" hidden="1"/>
    <cellStyle name="Hiperlink" xfId="517" builtinId="8" hidden="1"/>
    <cellStyle name="Hiperlink" xfId="509" builtinId="8" hidden="1"/>
    <cellStyle name="Hiperlink" xfId="501" builtinId="8" hidden="1"/>
    <cellStyle name="Hiperlink" xfId="493" builtinId="8" hidden="1"/>
    <cellStyle name="Hiperlink" xfId="485" builtinId="8" hidden="1"/>
    <cellStyle name="Hiperlink" xfId="477" builtinId="8" hidden="1"/>
    <cellStyle name="Hiperlink" xfId="469" builtinId="8" hidden="1"/>
    <cellStyle name="Hiperlink" xfId="461" builtinId="8" hidden="1"/>
    <cellStyle name="Hiperlink" xfId="453" builtinId="8" hidden="1"/>
    <cellStyle name="Hiperlink" xfId="445" builtinId="8" hidden="1"/>
    <cellStyle name="Hiperlink" xfId="437" builtinId="8" hidden="1"/>
    <cellStyle name="Hiperlink" xfId="429" builtinId="8" hidden="1"/>
    <cellStyle name="Hiperlink" xfId="421" builtinId="8" hidden="1"/>
    <cellStyle name="Hiperlink" xfId="413" builtinId="8" hidden="1"/>
    <cellStyle name="Hiperlink" xfId="405" builtinId="8" hidden="1"/>
    <cellStyle name="Hiperlink" xfId="397" builtinId="8" hidden="1"/>
    <cellStyle name="Hiperlink" xfId="389" builtinId="8" hidden="1"/>
    <cellStyle name="Hiperlink" xfId="381" builtinId="8" hidden="1"/>
    <cellStyle name="Hiperlink" xfId="373" builtinId="8" hidden="1"/>
    <cellStyle name="Hiperlink" xfId="365" builtinId="8" hidden="1"/>
    <cellStyle name="Hiperlink" xfId="357" builtinId="8" hidden="1"/>
    <cellStyle name="Hiperlink" xfId="349" builtinId="8" hidden="1"/>
    <cellStyle name="Hiperlink" xfId="341" builtinId="8" hidden="1"/>
    <cellStyle name="Hiperlink" xfId="333" builtinId="8" hidden="1"/>
    <cellStyle name="Hiperlink" xfId="325" builtinId="8" hidden="1"/>
    <cellStyle name="Hiperlink" xfId="317" builtinId="8" hidden="1"/>
    <cellStyle name="Hiperlink" xfId="309" builtinId="8" hidden="1"/>
    <cellStyle name="Hiperlink" xfId="301" builtinId="8" hidden="1"/>
    <cellStyle name="Hiperlink" xfId="293" builtinId="8" hidden="1"/>
    <cellStyle name="Hiperlink" xfId="285" builtinId="8" hidden="1"/>
    <cellStyle name="Hiperlink" xfId="277" builtinId="8" hidden="1"/>
    <cellStyle name="Hiperlink" xfId="269" builtinId="8" hidden="1"/>
    <cellStyle name="Hiperlink" xfId="261" builtinId="8" hidden="1"/>
    <cellStyle name="Hiperlink" xfId="253" builtinId="8" hidden="1"/>
    <cellStyle name="Hiperlink" xfId="245" builtinId="8" hidden="1"/>
    <cellStyle name="Hiperlink" xfId="237" builtinId="8" hidden="1"/>
    <cellStyle name="Hiperlink" xfId="229" builtinId="8" hidden="1"/>
    <cellStyle name="Hiperlink" xfId="221" builtinId="8" hidden="1"/>
    <cellStyle name="Hiperlink" xfId="213" builtinId="8" hidden="1"/>
    <cellStyle name="Hiperlink" xfId="205" builtinId="8" hidden="1"/>
    <cellStyle name="Hiperlink" xfId="197" builtinId="8" hidden="1"/>
    <cellStyle name="Hiperlink" xfId="189" builtinId="8" hidden="1"/>
    <cellStyle name="Hiperlink" xfId="181" builtinId="8" hidden="1"/>
    <cellStyle name="Hiperlink" xfId="105" builtinId="8" hidden="1"/>
    <cellStyle name="Hiperlink" xfId="109" builtinId="8" hidden="1"/>
    <cellStyle name="Hiperlink" xfId="113" builtinId="8" hidden="1"/>
    <cellStyle name="Hiperlink" xfId="121" builtinId="8" hidden="1"/>
    <cellStyle name="Hiperlink" xfId="125" builtinId="8" hidden="1"/>
    <cellStyle name="Hiperlink" xfId="129" builtinId="8" hidden="1"/>
    <cellStyle name="Hiperlink" xfId="137" builtinId="8" hidden="1"/>
    <cellStyle name="Hiperlink" xfId="141" builtinId="8" hidden="1"/>
    <cellStyle name="Hiperlink" xfId="145" builtinId="8" hidden="1"/>
    <cellStyle name="Hiperlink" xfId="153" builtinId="8" hidden="1"/>
    <cellStyle name="Hiperlink" xfId="157" builtinId="8" hidden="1"/>
    <cellStyle name="Hiperlink" xfId="161" builtinId="8" hidden="1"/>
    <cellStyle name="Hiperlink" xfId="169" builtinId="8" hidden="1"/>
    <cellStyle name="Hiperlink" xfId="173" builtinId="8" hidden="1"/>
    <cellStyle name="Hiperlink" xfId="177" builtinId="8" hidden="1"/>
    <cellStyle name="Hiperlink" xfId="165" builtinId="8" hidden="1"/>
    <cellStyle name="Hiperlink" xfId="149" builtinId="8" hidden="1"/>
    <cellStyle name="Hiperlink" xfId="133" builtinId="8" hidden="1"/>
    <cellStyle name="Hiperlink" xfId="117" builtinId="8" hidden="1"/>
    <cellStyle name="Hiperlink" xfId="101" builtinId="8" hidden="1"/>
    <cellStyle name="Hiperlink" xfId="81" builtinId="8" hidden="1"/>
    <cellStyle name="Hiperlink" xfId="85" builtinId="8" hidden="1"/>
    <cellStyle name="Hiperlink" xfId="89" builtinId="8" hidden="1"/>
    <cellStyle name="Hiperlink" xfId="93" builtinId="8" hidden="1"/>
    <cellStyle name="Hiperlink" xfId="97" builtinId="8" hidden="1"/>
    <cellStyle name="Hiperlink" xfId="73" builtinId="8" hidden="1"/>
    <cellStyle name="Hiperlink" xfId="77" builtinId="8" hidden="1"/>
    <cellStyle name="Hiperlink" xfId="69" builtinId="8" hidden="1"/>
    <cellStyle name="Hiperlink" xfId="65" builtinId="8" hidden="1"/>
    <cellStyle name="Hiperlink Visitado" xfId="538" builtinId="9" hidden="1"/>
    <cellStyle name="Hiperlink Visitado" xfId="542" builtinId="9" hidden="1"/>
    <cellStyle name="Hiperlink Visitado" xfId="546" builtinId="9" hidden="1"/>
    <cellStyle name="Hiperlink Visitado" xfId="548" builtinId="9" hidden="1"/>
    <cellStyle name="Hiperlink Visitado" xfId="554" builtinId="9" hidden="1"/>
    <cellStyle name="Hiperlink Visitado" xfId="556" builtinId="9" hidden="1"/>
    <cellStyle name="Hiperlink Visitado" xfId="558" builtinId="9" hidden="1"/>
    <cellStyle name="Hiperlink Visitado" xfId="564" builtinId="9" hidden="1"/>
    <cellStyle name="Hiperlink Visitado" xfId="566" builtinId="9" hidden="1"/>
    <cellStyle name="Hiperlink Visitado" xfId="570" builtinId="9" hidden="1"/>
    <cellStyle name="Hiperlink Visitado" xfId="574" builtinId="9" hidden="1"/>
    <cellStyle name="Hiperlink Visitado" xfId="578" builtinId="9" hidden="1"/>
    <cellStyle name="Hiperlink Visitado" xfId="580" builtinId="9" hidden="1"/>
    <cellStyle name="Hiperlink Visitado" xfId="586" builtinId="9" hidden="1"/>
    <cellStyle name="Hiperlink Visitado" xfId="588" builtinId="9" hidden="1"/>
    <cellStyle name="Hiperlink Visitado" xfId="590" builtinId="9" hidden="1"/>
    <cellStyle name="Hiperlink Visitado" xfId="596" builtinId="9" hidden="1"/>
    <cellStyle name="Hiperlink Visitado" xfId="598" builtinId="9" hidden="1"/>
    <cellStyle name="Hiperlink Visitado" xfId="602" builtinId="9" hidden="1"/>
    <cellStyle name="Hiperlink Visitado" xfId="606" builtinId="9" hidden="1"/>
    <cellStyle name="Hiperlink Visitado" xfId="610" builtinId="9" hidden="1"/>
    <cellStyle name="Hiperlink Visitado" xfId="612" builtinId="9" hidden="1"/>
    <cellStyle name="Hiperlink Visitado" xfId="618" builtinId="9" hidden="1"/>
    <cellStyle name="Hiperlink Visitado" xfId="620" builtinId="9" hidden="1"/>
    <cellStyle name="Hiperlink Visitado" xfId="622" builtinId="9" hidden="1"/>
    <cellStyle name="Hiperlink Visitado" xfId="628" builtinId="9" hidden="1"/>
    <cellStyle name="Hiperlink Visitado" xfId="630" builtinId="9" hidden="1"/>
    <cellStyle name="Hiperlink Visitado" xfId="624" builtinId="9" hidden="1"/>
    <cellStyle name="Hiperlink Visitado" xfId="608" builtinId="9" hidden="1"/>
    <cellStyle name="Hiperlink Visitado" xfId="600" builtinId="9" hidden="1"/>
    <cellStyle name="Hiperlink Visitado" xfId="592" builtinId="9" hidden="1"/>
    <cellStyle name="Hiperlink Visitado" xfId="576" builtinId="9" hidden="1"/>
    <cellStyle name="Hiperlink Visitado" xfId="568" builtinId="9" hidden="1"/>
    <cellStyle name="Hiperlink Visitado" xfId="560" builtinId="9" hidden="1"/>
    <cellStyle name="Hiperlink Visitado" xfId="544" builtinId="9" hidden="1"/>
    <cellStyle name="Hiperlink Visitado" xfId="536" builtinId="9" hidden="1"/>
    <cellStyle name="Hiperlink Visitado" xfId="528" builtinId="9" hidden="1"/>
    <cellStyle name="Hiperlink Visitado" xfId="512" builtinId="9" hidden="1"/>
    <cellStyle name="Hiperlink Visitado" xfId="504" builtinId="9" hidden="1"/>
    <cellStyle name="Hiperlink Visitado" xfId="496" builtinId="9" hidden="1"/>
    <cellStyle name="Hiperlink Visitado" xfId="480" builtinId="9" hidden="1"/>
    <cellStyle name="Hiperlink Visitado" xfId="472" builtinId="9" hidden="1"/>
    <cellStyle name="Hiperlink Visitado" xfId="464" builtinId="9" hidden="1"/>
    <cellStyle name="Hiperlink Visitado" xfId="448" builtinId="9" hidden="1"/>
    <cellStyle name="Hiperlink Visitado" xfId="440" builtinId="9" hidden="1"/>
    <cellStyle name="Hiperlink Visitado" xfId="432" builtinId="9" hidden="1"/>
    <cellStyle name="Hiperlink Visitado" xfId="416" builtinId="9" hidden="1"/>
    <cellStyle name="Hiperlink Visitado" xfId="408" builtinId="9" hidden="1"/>
    <cellStyle name="Hiperlink Visitado" xfId="400" builtinId="9" hidden="1"/>
    <cellStyle name="Hiperlink Visitado" xfId="384" builtinId="9" hidden="1"/>
    <cellStyle name="Hiperlink Visitado" xfId="376" builtinId="9" hidden="1"/>
    <cellStyle name="Hiperlink Visitado" xfId="368" builtinId="9" hidden="1"/>
    <cellStyle name="Hiperlink Visitado" xfId="352" builtinId="9" hidden="1"/>
    <cellStyle name="Hiperlink Visitado" xfId="344" builtinId="9" hidden="1"/>
    <cellStyle name="Hiperlink Visitado" xfId="336" builtinId="9" hidden="1"/>
    <cellStyle name="Hiperlink Visitado" xfId="320" builtinId="9" hidden="1"/>
    <cellStyle name="Hiperlink Visitado" xfId="312" builtinId="9" hidden="1"/>
    <cellStyle name="Hiperlink Visitado" xfId="304" builtinId="9" hidden="1"/>
    <cellStyle name="Hiperlink Visitado" xfId="288" builtinId="9" hidden="1"/>
    <cellStyle name="Hiperlink Visitado" xfId="280" builtinId="9" hidden="1"/>
    <cellStyle name="Hiperlink Visitado" xfId="272" builtinId="9" hidden="1"/>
    <cellStyle name="Hiperlink Visitado" xfId="256" builtinId="9" hidden="1"/>
    <cellStyle name="Hiperlink Visitado" xfId="248" builtinId="9" hidden="1"/>
    <cellStyle name="Hiperlink Visitado" xfId="240" builtinId="9" hidden="1"/>
    <cellStyle name="Hiperlink Visitado" xfId="102" builtinId="9" hidden="1"/>
    <cellStyle name="Hiperlink Visitado" xfId="104" builtinId="9" hidden="1"/>
    <cellStyle name="Hiperlink Visitado" xfId="106" builtinId="9" hidden="1"/>
    <cellStyle name="Hiperlink Visitado" xfId="110" builtinId="9" hidden="1"/>
    <cellStyle name="Hiperlink Visitado" xfId="114" builtinId="9" hidden="1"/>
    <cellStyle name="Hiperlink Visitado" xfId="116" builtinId="9" hidden="1"/>
    <cellStyle name="Hiperlink Visitado" xfId="120" builtinId="9" hidden="1"/>
    <cellStyle name="Hiperlink Visitado" xfId="122" builtinId="9" hidden="1"/>
    <cellStyle name="Hiperlink Visitado" xfId="124" builtinId="9" hidden="1"/>
    <cellStyle name="Hiperlink Visitado" xfId="130" builtinId="9" hidden="1"/>
    <cellStyle name="Hiperlink Visitado" xfId="132" builtinId="9" hidden="1"/>
    <cellStyle name="Hiperlink Visitado" xfId="134" builtinId="9" hidden="1"/>
    <cellStyle name="Hiperlink Visitado" xfId="138" builtinId="9" hidden="1"/>
    <cellStyle name="Hiperlink Visitado" xfId="140" builtinId="9" hidden="1"/>
    <cellStyle name="Hiperlink Visitado" xfId="142" builtinId="9" hidden="1"/>
    <cellStyle name="Hiperlink Visitado" xfId="148" builtinId="9" hidden="1"/>
    <cellStyle name="Hiperlink Visitado" xfId="150" builtinId="9" hidden="1"/>
    <cellStyle name="Hiperlink Visitado" xfId="152" builtinId="9" hidden="1"/>
    <cellStyle name="Hiperlink Visitado" xfId="156" builtinId="9" hidden="1"/>
    <cellStyle name="Hiperlink Visitado" xfId="158" builtinId="9" hidden="1"/>
    <cellStyle name="Hiperlink Visitado" xfId="162" builtinId="9" hidden="1"/>
    <cellStyle name="Hiperlink Visitado" xfId="166" builtinId="9" hidden="1"/>
    <cellStyle name="Hiperlink Visitado" xfId="168" builtinId="9" hidden="1"/>
    <cellStyle name="Hiperlink Visitado" xfId="170" builtinId="9" hidden="1"/>
    <cellStyle name="Hiperlink Visitado" xfId="174" builtinId="9" hidden="1"/>
    <cellStyle name="Hiperlink Visitado" xfId="178" builtinId="9" hidden="1"/>
    <cellStyle name="Hiperlink Visitado" xfId="180" builtinId="9" hidden="1"/>
    <cellStyle name="Hiperlink Visitado" xfId="184" builtinId="9" hidden="1"/>
    <cellStyle name="Hiperlink Visitado" xfId="186" builtinId="9" hidden="1"/>
    <cellStyle name="Hiperlink Visitado" xfId="188" builtinId="9" hidden="1"/>
    <cellStyle name="Hiperlink Visitado" xfId="194" builtinId="9" hidden="1"/>
    <cellStyle name="Hiperlink Visitado" xfId="196" builtinId="9" hidden="1"/>
    <cellStyle name="Hiperlink Visitado" xfId="198" builtinId="9" hidden="1"/>
    <cellStyle name="Hiperlink Visitado" xfId="202" builtinId="9" hidden="1"/>
    <cellStyle name="Hiperlink Visitado" xfId="204" builtinId="9" hidden="1"/>
    <cellStyle name="Hiperlink Visitado" xfId="206" builtinId="9" hidden="1"/>
    <cellStyle name="Hiperlink Visitado" xfId="212" builtinId="9" hidden="1"/>
    <cellStyle name="Hiperlink Visitado" xfId="214" builtinId="9" hidden="1"/>
    <cellStyle name="Hiperlink Visitado" xfId="216" builtinId="9" hidden="1"/>
    <cellStyle name="Hiperlink Visitado" xfId="220" builtinId="9" hidden="1"/>
    <cellStyle name="Hiperlink Visitado" xfId="222" builtinId="9" hidden="1"/>
    <cellStyle name="Hiperlink Visitado" xfId="226" builtinId="9" hidden="1"/>
    <cellStyle name="Hiperlink Visitado" xfId="230" builtinId="9" hidden="1"/>
    <cellStyle name="Hiperlink Visitado" xfId="224" builtinId="9" hidden="1"/>
    <cellStyle name="Hiperlink Visitado" xfId="208" builtinId="9" hidden="1"/>
    <cellStyle name="Hiperlink Visitado" xfId="176" builtinId="9" hidden="1"/>
    <cellStyle name="Hiperlink Visitado" xfId="160" builtinId="9" hidden="1"/>
    <cellStyle name="Hiperlink Visitado" xfId="144" builtinId="9" hidden="1"/>
    <cellStyle name="Hiperlink Visitado" xfId="112" builtinId="9" hidden="1"/>
    <cellStyle name="Hiperlink Visitado" xfId="50" builtinId="9" hidden="1"/>
    <cellStyle name="Hiperlink Visitado" xfId="52" builtinId="9" hidden="1"/>
    <cellStyle name="Hiperlink Visitado" xfId="56" builtinId="9" hidden="1"/>
    <cellStyle name="Hiperlink Visitado" xfId="58" builtinId="9" hidden="1"/>
    <cellStyle name="Hiperlink Visitado" xfId="60" builtinId="9" hidden="1"/>
    <cellStyle name="Hiperlink Visitado" xfId="64" builtinId="9" hidden="1"/>
    <cellStyle name="Hiperlink Visitado" xfId="66" builtinId="9" hidden="1"/>
    <cellStyle name="Hiperlink Visitado" xfId="68" builtinId="9" hidden="1"/>
    <cellStyle name="Hiperlink Visitado" xfId="72" builtinId="9" hidden="1"/>
    <cellStyle name="Hiperlink Visitado" xfId="74" builtinId="9" hidden="1"/>
    <cellStyle name="Hiperlink Visitado" xfId="76" builtinId="9" hidden="1"/>
    <cellStyle name="Hiperlink Visitado" xfId="82" builtinId="9" hidden="1"/>
    <cellStyle name="Hiperlink Visitado" xfId="84" builtinId="9" hidden="1"/>
    <cellStyle name="Hiperlink Visitado" xfId="86" builtinId="9" hidden="1"/>
    <cellStyle name="Hiperlink Visitado" xfId="90" builtinId="9" hidden="1"/>
    <cellStyle name="Hiperlink Visitado" xfId="92" builtinId="9" hidden="1"/>
    <cellStyle name="Hiperlink Visitado" xfId="94" builtinId="9" hidden="1"/>
    <cellStyle name="Hiperlink Visitado" xfId="98" builtinId="9" hidden="1"/>
    <cellStyle name="Hiperlink Visitado" xfId="100" builtinId="9" hidden="1"/>
    <cellStyle name="Hiperlink Visitado" xfId="80" builtinId="9" hidden="1"/>
    <cellStyle name="Hiperlink Visitado" xfId="26" builtinId="9" hidden="1"/>
    <cellStyle name="Hiperlink Visitado" xfId="28" builtinId="9" hidden="1"/>
    <cellStyle name="Hiperlink Visitado" xfId="30" builtinId="9" hidden="1"/>
    <cellStyle name="Hiperlink Visitado" xfId="34" builtinId="9" hidden="1"/>
    <cellStyle name="Hiperlink Visitado" xfId="36" builtinId="9" hidden="1"/>
    <cellStyle name="Hiperlink Visitado" xfId="38" builtinId="9" hidden="1"/>
    <cellStyle name="Hiperlink Visitado" xfId="42" builtinId="9" hidden="1"/>
    <cellStyle name="Hiperlink Visitado" xfId="44" builtinId="9" hidden="1"/>
    <cellStyle name="Hiperlink Visitado" xfId="46" builtinId="9" hidden="1"/>
    <cellStyle name="Hiperlink Visitado" xfId="16" builtinId="9" hidden="1"/>
    <cellStyle name="Hiperlink Visitado" xfId="18" builtinId="9" hidden="1"/>
    <cellStyle name="Hiperlink Visitado" xfId="20" builtinId="9" hidden="1"/>
    <cellStyle name="Hiperlink Visitado" xfId="24" builtinId="9" hidden="1"/>
    <cellStyle name="Hiperlink Visitado" xfId="8" builtinId="9" hidden="1"/>
    <cellStyle name="Hiperlink Visitado" xfId="10" builtinId="9" hidden="1"/>
    <cellStyle name="Hiperlink Visitado" xfId="6" builtinId="9" hidden="1"/>
    <cellStyle name="Hiperlink Visitado" xfId="4" builtinId="9" hidden="1"/>
    <cellStyle name="Hiperlink Visitado" xfId="12" builtinId="9" hidden="1"/>
    <cellStyle name="Hiperlink Visitado" xfId="22" builtinId="9" hidden="1"/>
    <cellStyle name="Hiperlink Visitado" xfId="14" builtinId="9" hidden="1"/>
    <cellStyle name="Hiperlink Visitado" xfId="40" builtinId="9" hidden="1"/>
    <cellStyle name="Hiperlink Visitado" xfId="32" builtinId="9" hidden="1"/>
    <cellStyle name="Hiperlink Visitado" xfId="48" builtinId="9" hidden="1"/>
    <cellStyle name="Hiperlink Visitado" xfId="96" builtinId="9" hidden="1"/>
    <cellStyle name="Hiperlink Visitado" xfId="88" builtinId="9" hidden="1"/>
    <cellStyle name="Hiperlink Visitado" xfId="78" builtinId="9" hidden="1"/>
    <cellStyle name="Hiperlink Visitado" xfId="70" builtinId="9" hidden="1"/>
    <cellStyle name="Hiperlink Visitado" xfId="62" builtinId="9" hidden="1"/>
    <cellStyle name="Hiperlink Visitado" xfId="54" builtinId="9" hidden="1"/>
    <cellStyle name="Hiperlink Visitado" xfId="128" builtinId="9" hidden="1"/>
    <cellStyle name="Hiperlink Visitado" xfId="192" builtinId="9" hidden="1"/>
    <cellStyle name="Hiperlink Visitado" xfId="228" builtinId="9" hidden="1"/>
    <cellStyle name="Hiperlink Visitado" xfId="218" builtinId="9" hidden="1"/>
    <cellStyle name="Hiperlink Visitado" xfId="210" builtinId="9" hidden="1"/>
    <cellStyle name="Hiperlink Visitado" xfId="200" builtinId="9" hidden="1"/>
    <cellStyle name="Hiperlink Visitado" xfId="190" builtinId="9" hidden="1"/>
    <cellStyle name="Hiperlink Visitado" xfId="182" builtinId="9" hidden="1"/>
    <cellStyle name="Hiperlink Visitado" xfId="172" builtinId="9" hidden="1"/>
    <cellStyle name="Hiperlink Visitado" xfId="164" builtinId="9" hidden="1"/>
    <cellStyle name="Hiperlink Visitado" xfId="154" builtinId="9" hidden="1"/>
    <cellStyle name="Hiperlink Visitado" xfId="146" builtinId="9" hidden="1"/>
    <cellStyle name="Hiperlink Visitado" xfId="136" builtinId="9" hidden="1"/>
    <cellStyle name="Hiperlink Visitado" xfId="126" builtinId="9" hidden="1"/>
    <cellStyle name="Hiperlink Visitado" xfId="118" builtinId="9" hidden="1"/>
    <cellStyle name="Hiperlink Visitado" xfId="108" builtinId="9" hidden="1"/>
    <cellStyle name="Hiperlink Visitado" xfId="232" builtinId="9" hidden="1"/>
    <cellStyle name="Hiperlink Visitado" xfId="264" builtinId="9" hidden="1"/>
    <cellStyle name="Hiperlink Visitado" xfId="296" builtinId="9" hidden="1"/>
    <cellStyle name="Hiperlink Visitado" xfId="328" builtinId="9" hidden="1"/>
    <cellStyle name="Hiperlink Visitado" xfId="360" builtinId="9" hidden="1"/>
    <cellStyle name="Hiperlink Visitado" xfId="392" builtinId="9" hidden="1"/>
    <cellStyle name="Hiperlink Visitado" xfId="424" builtinId="9" hidden="1"/>
    <cellStyle name="Hiperlink Visitado" xfId="456" builtinId="9" hidden="1"/>
    <cellStyle name="Hiperlink Visitado" xfId="488" builtinId="9" hidden="1"/>
    <cellStyle name="Hiperlink Visitado" xfId="520" builtinId="9" hidden="1"/>
    <cellStyle name="Hiperlink Visitado" xfId="552" builtinId="9" hidden="1"/>
    <cellStyle name="Hiperlink Visitado" xfId="584" builtinId="9" hidden="1"/>
    <cellStyle name="Hiperlink Visitado" xfId="616" builtinId="9" hidden="1"/>
    <cellStyle name="Hiperlink Visitado" xfId="626" builtinId="9" hidden="1"/>
    <cellStyle name="Hiperlink Visitado" xfId="614" builtinId="9" hidden="1"/>
    <cellStyle name="Hiperlink Visitado" xfId="604" builtinId="9" hidden="1"/>
    <cellStyle name="Hiperlink Visitado" xfId="594" builtinId="9" hidden="1"/>
    <cellStyle name="Hiperlink Visitado" xfId="582" builtinId="9" hidden="1"/>
    <cellStyle name="Hiperlink Visitado" xfId="572" builtinId="9" hidden="1"/>
    <cellStyle name="Hiperlink Visitado" xfId="562" builtinId="9" hidden="1"/>
    <cellStyle name="Hiperlink Visitado" xfId="550" builtinId="9" hidden="1"/>
    <cellStyle name="Hiperlink Visitado" xfId="540" builtinId="9" hidden="1"/>
    <cellStyle name="Hiperlink Visitado" xfId="364" builtinId="9" hidden="1"/>
    <cellStyle name="Hiperlink Visitado" xfId="366" builtinId="9" hidden="1"/>
    <cellStyle name="Hiperlink Visitado" xfId="370" builtinId="9" hidden="1"/>
    <cellStyle name="Hiperlink Visitado" xfId="372" builtinId="9" hidden="1"/>
    <cellStyle name="Hiperlink Visitado" xfId="374" builtinId="9" hidden="1"/>
    <cellStyle name="Hiperlink Visitado" xfId="378" builtinId="9" hidden="1"/>
    <cellStyle name="Hiperlink Visitado" xfId="382" builtinId="9" hidden="1"/>
    <cellStyle name="Hiperlink Visitado" xfId="386" builtinId="9" hidden="1"/>
    <cellStyle name="Hiperlink Visitado" xfId="388" builtinId="9" hidden="1"/>
    <cellStyle name="Hiperlink Visitado" xfId="390" builtinId="9" hidden="1"/>
    <cellStyle name="Hiperlink Visitado" xfId="394" builtinId="9" hidden="1"/>
    <cellStyle name="Hiperlink Visitado" xfId="396" builtinId="9" hidden="1"/>
    <cellStyle name="Hiperlink Visitado" xfId="398" builtinId="9" hidden="1"/>
    <cellStyle name="Hiperlink Visitado" xfId="404" builtinId="9" hidden="1"/>
    <cellStyle name="Hiperlink Visitado" xfId="406" builtinId="9" hidden="1"/>
    <cellStyle name="Hiperlink Visitado" xfId="410" builtinId="9" hidden="1"/>
    <cellStyle name="Hiperlink Visitado" xfId="412" builtinId="9" hidden="1"/>
    <cellStyle name="Hiperlink Visitado" xfId="414" builtinId="9" hidden="1"/>
    <cellStyle name="Hiperlink Visitado" xfId="418" builtinId="9" hidden="1"/>
    <cellStyle name="Hiperlink Visitado" xfId="420" builtinId="9" hidden="1"/>
    <cellStyle name="Hiperlink Visitado" xfId="426" builtinId="9" hidden="1"/>
    <cellStyle name="Hiperlink Visitado" xfId="428" builtinId="9" hidden="1"/>
    <cellStyle name="Hiperlink Visitado" xfId="430" builtinId="9" hidden="1"/>
    <cellStyle name="Hiperlink Visitado" xfId="434" builtinId="9" hidden="1"/>
    <cellStyle name="Hiperlink Visitado" xfId="436" builtinId="9" hidden="1"/>
    <cellStyle name="Hiperlink Visitado" xfId="438" builtinId="9" hidden="1"/>
    <cellStyle name="Hiperlink Visitado" xfId="442" builtinId="9" hidden="1"/>
    <cellStyle name="Hiperlink Visitado" xfId="446" builtinId="9" hidden="1"/>
    <cellStyle name="Hiperlink Visitado" xfId="450" builtinId="9" hidden="1"/>
    <cellStyle name="Hiperlink Visitado" xfId="452" builtinId="9" hidden="1"/>
    <cellStyle name="Hiperlink Visitado" xfId="454" builtinId="9" hidden="1"/>
    <cellStyle name="Hiperlink Visitado" xfId="458" builtinId="9" hidden="1"/>
    <cellStyle name="Hiperlink Visitado" xfId="460" builtinId="9" hidden="1"/>
    <cellStyle name="Hiperlink Visitado" xfId="462" builtinId="9" hidden="1"/>
    <cellStyle name="Hiperlink Visitado" xfId="468" builtinId="9" hidden="1"/>
    <cellStyle name="Hiperlink Visitado" xfId="470" builtinId="9" hidden="1"/>
    <cellStyle name="Hiperlink Visitado" xfId="474" builtinId="9" hidden="1"/>
    <cellStyle name="Hiperlink Visitado" xfId="476" builtinId="9" hidden="1"/>
    <cellStyle name="Hiperlink Visitado" xfId="478" builtinId="9" hidden="1"/>
    <cellStyle name="Hiperlink Visitado" xfId="482" builtinId="9" hidden="1"/>
    <cellStyle name="Hiperlink Visitado" xfId="484" builtinId="9" hidden="1"/>
    <cellStyle name="Hiperlink Visitado" xfId="490" builtinId="9" hidden="1"/>
    <cellStyle name="Hiperlink Visitado" xfId="492" builtinId="9" hidden="1"/>
    <cellStyle name="Hiperlink Visitado" xfId="494" builtinId="9" hidden="1"/>
    <cellStyle name="Hiperlink Visitado" xfId="498" builtinId="9" hidden="1"/>
    <cellStyle name="Hiperlink Visitado" xfId="500" builtinId="9" hidden="1"/>
    <cellStyle name="Hiperlink Visitado" xfId="502" builtinId="9" hidden="1"/>
    <cellStyle name="Hiperlink Visitado" xfId="506" builtinId="9" hidden="1"/>
    <cellStyle name="Hiperlink Visitado" xfId="510" builtinId="9" hidden="1"/>
    <cellStyle name="Hiperlink Visitado" xfId="514" builtinId="9" hidden="1"/>
    <cellStyle name="Hiperlink Visitado" xfId="516" builtinId="9" hidden="1"/>
    <cellStyle name="Hiperlink Visitado" xfId="518" builtinId="9" hidden="1"/>
    <cellStyle name="Hiperlink Visitado" xfId="522" builtinId="9" hidden="1"/>
    <cellStyle name="Hiperlink Visitado" xfId="524" builtinId="9" hidden="1"/>
    <cellStyle name="Hiperlink Visitado" xfId="526" builtinId="9" hidden="1"/>
    <cellStyle name="Hiperlink Visitado" xfId="532" builtinId="9" hidden="1"/>
    <cellStyle name="Hiperlink Visitado" xfId="534" builtinId="9" hidden="1"/>
    <cellStyle name="Hiperlink Visitado" xfId="530" builtinId="9" hidden="1"/>
    <cellStyle name="Hiperlink Visitado" xfId="508" builtinId="9" hidden="1"/>
    <cellStyle name="Hiperlink Visitado" xfId="486" builtinId="9" hidden="1"/>
    <cellStyle name="Hiperlink Visitado" xfId="466" builtinId="9" hidden="1"/>
    <cellStyle name="Hiperlink Visitado" xfId="444" builtinId="9" hidden="1"/>
    <cellStyle name="Hiperlink Visitado" xfId="422" builtinId="9" hidden="1"/>
    <cellStyle name="Hiperlink Visitado" xfId="402" builtinId="9" hidden="1"/>
    <cellStyle name="Hiperlink Visitado" xfId="380" builtinId="9" hidden="1"/>
    <cellStyle name="Hiperlink Visitado" xfId="292" builtinId="9" hidden="1"/>
    <cellStyle name="Hiperlink Visitado" xfId="298" builtinId="9" hidden="1"/>
    <cellStyle name="Hiperlink Visitado" xfId="300" builtinId="9" hidden="1"/>
    <cellStyle name="Hiperlink Visitado" xfId="302" builtinId="9" hidden="1"/>
    <cellStyle name="Hiperlink Visitado" xfId="306" builtinId="9" hidden="1"/>
    <cellStyle name="Hiperlink Visitado" xfId="308" builtinId="9" hidden="1"/>
    <cellStyle name="Hiperlink Visitado" xfId="310" builtinId="9" hidden="1"/>
    <cellStyle name="Hiperlink Visitado" xfId="314" builtinId="9" hidden="1"/>
    <cellStyle name="Hiperlink Visitado" xfId="316" builtinId="9" hidden="1"/>
    <cellStyle name="Hiperlink Visitado" xfId="318" builtinId="9" hidden="1"/>
    <cellStyle name="Hiperlink Visitado" xfId="322" builtinId="9" hidden="1"/>
    <cellStyle name="Hiperlink Visitado" xfId="324" builtinId="9" hidden="1"/>
    <cellStyle name="Hiperlink Visitado" xfId="326" builtinId="9" hidden="1"/>
    <cellStyle name="Hiperlink Visitado" xfId="330" builtinId="9" hidden="1"/>
    <cellStyle name="Hiperlink Visitado" xfId="332" builtinId="9" hidden="1"/>
    <cellStyle name="Hiperlink Visitado" xfId="334" builtinId="9" hidden="1"/>
    <cellStyle name="Hiperlink Visitado" xfId="340" builtinId="9" hidden="1"/>
    <cellStyle name="Hiperlink Visitado" xfId="342" builtinId="9" hidden="1"/>
    <cellStyle name="Hiperlink Visitado" xfId="346" builtinId="9" hidden="1"/>
    <cellStyle name="Hiperlink Visitado" xfId="348" builtinId="9" hidden="1"/>
    <cellStyle name="Hiperlink Visitado" xfId="350" builtinId="9" hidden="1"/>
    <cellStyle name="Hiperlink Visitado" xfId="354" builtinId="9" hidden="1"/>
    <cellStyle name="Hiperlink Visitado" xfId="356" builtinId="9" hidden="1"/>
    <cellStyle name="Hiperlink Visitado" xfId="358" builtinId="9" hidden="1"/>
    <cellStyle name="Hiperlink Visitado" xfId="362" builtinId="9" hidden="1"/>
    <cellStyle name="Hiperlink Visitado" xfId="338" builtinId="9" hidden="1"/>
    <cellStyle name="Hiperlink Visitado" xfId="294" builtinId="9" hidden="1"/>
    <cellStyle name="Hiperlink Visitado" xfId="262" builtinId="9" hidden="1"/>
    <cellStyle name="Hiperlink Visitado" xfId="266" builtinId="9" hidden="1"/>
    <cellStyle name="Hiperlink Visitado" xfId="268" builtinId="9" hidden="1"/>
    <cellStyle name="Hiperlink Visitado" xfId="270" builtinId="9" hidden="1"/>
    <cellStyle name="Hiperlink Visitado" xfId="274" builtinId="9" hidden="1"/>
    <cellStyle name="Hiperlink Visitado" xfId="276" builtinId="9" hidden="1"/>
    <cellStyle name="Hiperlink Visitado" xfId="278" builtinId="9" hidden="1"/>
    <cellStyle name="Hiperlink Visitado" xfId="282" builtinId="9" hidden="1"/>
    <cellStyle name="Hiperlink Visitado" xfId="284" builtinId="9" hidden="1"/>
    <cellStyle name="Hiperlink Visitado" xfId="286" builtinId="9" hidden="1"/>
    <cellStyle name="Hiperlink Visitado" xfId="290" builtinId="9" hidden="1"/>
    <cellStyle name="Hiperlink Visitado" xfId="246" builtinId="9" hidden="1"/>
    <cellStyle name="Hiperlink Visitado" xfId="250" builtinId="9" hidden="1"/>
    <cellStyle name="Hiperlink Visitado" xfId="252" builtinId="9" hidden="1"/>
    <cellStyle name="Hiperlink Visitado" xfId="254" builtinId="9" hidden="1"/>
    <cellStyle name="Hiperlink Visitado" xfId="258" builtinId="9" hidden="1"/>
    <cellStyle name="Hiperlink Visitado" xfId="260" builtinId="9" hidden="1"/>
    <cellStyle name="Hiperlink Visitado" xfId="238" builtinId="9" hidden="1"/>
    <cellStyle name="Hiperlink Visitado" xfId="242" builtinId="9" hidden="1"/>
    <cellStyle name="Hiperlink Visitado" xfId="244" builtinId="9" hidden="1"/>
    <cellStyle name="Hiperlink Visitado" xfId="236" builtinId="9" hidden="1"/>
    <cellStyle name="Hiperlink Visitado" xfId="234" builtinId="9" hidden="1"/>
    <cellStyle name="Moeda" xfId="2" builtinId="4"/>
    <cellStyle name="Moeda 2" xfId="632" xr:uid="{00000000-0005-0000-0000-000075020000}"/>
    <cellStyle name="Normal" xfId="0" builtinId="0"/>
    <cellStyle name="Porcentagem" xfId="631" builtinId="5"/>
    <cellStyle name="Vírgul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103909</xdr:colOff>
      <xdr:row>0</xdr:row>
      <xdr:rowOff>131618</xdr:rowOff>
    </xdr:from>
    <xdr:to>
      <xdr:col>0</xdr:col>
      <xdr:colOff>2700424</xdr:colOff>
      <xdr:row>4</xdr:row>
      <xdr:rowOff>174048</xdr:rowOff>
    </xdr:to>
    <xdr:pic>
      <xdr:nvPicPr>
        <xdr:cNvPr id="2" name="Imagem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909" y="131618"/>
          <a:ext cx="2596515" cy="838200"/>
        </a:xfrm>
        <a:prstGeom prst="rect">
          <a:avLst/>
        </a:prstGeom>
      </xdr:spPr>
    </xdr:pic>
    <xdr:clientData/>
  </xdr:twoCellAnchor>
  <xdr:twoCellAnchor editAs="oneCell">
    <xdr:from>
      <xdr:col>0</xdr:col>
      <xdr:colOff>103909</xdr:colOff>
      <xdr:row>0</xdr:row>
      <xdr:rowOff>131618</xdr:rowOff>
    </xdr:from>
    <xdr:to>
      <xdr:col>0</xdr:col>
      <xdr:colOff>2700424</xdr:colOff>
      <xdr:row>4</xdr:row>
      <xdr:rowOff>241762</xdr:rowOff>
    </xdr:to>
    <xdr:pic>
      <xdr:nvPicPr>
        <xdr:cNvPr id="3" name="Imagem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909" y="131618"/>
          <a:ext cx="2596515" cy="849284"/>
        </a:xfrm>
        <a:prstGeom prst="rect">
          <a:avLst/>
        </a:prstGeom>
      </xdr:spPr>
    </xdr:pic>
    <xdr:clientData/>
  </xdr:twoCellAnchor>
  <xdr:twoCellAnchor editAs="oneCell">
    <xdr:from>
      <xdr:col>0</xdr:col>
      <xdr:colOff>103909</xdr:colOff>
      <xdr:row>0</xdr:row>
      <xdr:rowOff>131618</xdr:rowOff>
    </xdr:from>
    <xdr:to>
      <xdr:col>0</xdr:col>
      <xdr:colOff>2700424</xdr:colOff>
      <xdr:row>4</xdr:row>
      <xdr:rowOff>173182</xdr:rowOff>
    </xdr:to>
    <xdr:pic>
      <xdr:nvPicPr>
        <xdr:cNvPr id="4" name="Imagem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909" y="131618"/>
          <a:ext cx="2596515" cy="8492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2666700</xdr:colOff>
      <xdr:row>4</xdr:row>
      <xdr:rowOff>158234</xdr:rowOff>
    </xdr:to>
    <xdr:pic>
      <xdr:nvPicPr>
        <xdr:cNvPr id="2" name="Imagem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0"/>
          <a:ext cx="2596515" cy="8901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114300</xdr:colOff>
      <xdr:row>1</xdr:row>
      <xdr:rowOff>114300</xdr:rowOff>
    </xdr:from>
    <xdr:to>
      <xdr:col>2</xdr:col>
      <xdr:colOff>2238375</xdr:colOff>
      <xdr:row>6</xdr:row>
      <xdr:rowOff>121920</xdr:rowOff>
    </xdr:to>
    <xdr:pic>
      <xdr:nvPicPr>
        <xdr:cNvPr id="2" name="Imagem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7180" y="297180"/>
          <a:ext cx="2596515" cy="838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114300</xdr:colOff>
      <xdr:row>1</xdr:row>
      <xdr:rowOff>114300</xdr:rowOff>
    </xdr:from>
    <xdr:to>
      <xdr:col>2</xdr:col>
      <xdr:colOff>2200275</xdr:colOff>
      <xdr:row>6</xdr:row>
      <xdr:rowOff>38100</xdr:rowOff>
    </xdr:to>
    <xdr:pic>
      <xdr:nvPicPr>
        <xdr:cNvPr id="2" name="Imagem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7180" y="297180"/>
          <a:ext cx="2596515" cy="838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dson\Desktop\Diversos\IGEVE\Projetos\Sorocaba\PLANILHA%20FINANCEIRA%20SOROCABA%20MARIA%20A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PTA"/>
      <sheetName val="Plano Orçamentario"/>
      <sheetName val="Plano Analitico"/>
      <sheetName val="Planilha1"/>
    </sheetNames>
    <sheetDataSet>
      <sheetData sheetId="0">
        <row r="15">
          <cell r="A15" t="str">
            <v>DIRETOR</v>
          </cell>
          <cell r="B15">
            <v>40</v>
          </cell>
        </row>
        <row r="16">
          <cell r="A16" t="str">
            <v>COORDENADOR PEDAGÓGICO</v>
          </cell>
          <cell r="B16">
            <v>40</v>
          </cell>
        </row>
        <row r="17">
          <cell r="A17" t="str">
            <v>PROFESSORES</v>
          </cell>
          <cell r="B17">
            <v>40</v>
          </cell>
        </row>
        <row r="18">
          <cell r="A18" t="str">
            <v>AUXILIAR DE CLASSE</v>
          </cell>
          <cell r="B18">
            <v>40</v>
          </cell>
        </row>
        <row r="19">
          <cell r="A19" t="str">
            <v>PROFISSIONAL DE APOIO</v>
          </cell>
          <cell r="B19">
            <v>40</v>
          </cell>
        </row>
        <row r="20">
          <cell r="A20" t="str">
            <v>AUXILIAR ADM</v>
          </cell>
          <cell r="B20">
            <v>40</v>
          </cell>
          <cell r="D20">
            <v>1228</v>
          </cell>
        </row>
        <row r="21">
          <cell r="A21" t="str">
            <v>AUXILIAR DE LIMPEZA</v>
          </cell>
          <cell r="B21">
            <v>40</v>
          </cell>
          <cell r="D21">
            <v>3684</v>
          </cell>
        </row>
      </sheetData>
      <sheetData sheetId="1"/>
      <sheetData sheetId="2"/>
      <sheetData sheetId="3"/>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Q34"/>
  <sheetViews>
    <sheetView tabSelected="1" zoomScaleNormal="100" workbookViewId="0">
      <pane xSplit="4" ySplit="14" topLeftCell="H23" activePane="bottomRight" state="frozen"/>
      <selection pane="topRight" activeCell="E1" sqref="E1"/>
      <selection pane="bottomLeft" activeCell="A13" sqref="A13"/>
      <selection pane="bottomRight" activeCell="I6" sqref="I6"/>
    </sheetView>
  </sheetViews>
  <sheetFormatPr defaultColWidth="8.88671875" defaultRowHeight="14.4" x14ac:dyDescent="0.3"/>
  <cols>
    <col min="1" max="1" width="59.44140625" bestFit="1" customWidth="1"/>
    <col min="2" max="2" width="6.44140625" bestFit="1" customWidth="1"/>
    <col min="3" max="3" width="5.77734375" bestFit="1" customWidth="1"/>
    <col min="4" max="4" width="16.6640625" bestFit="1" customWidth="1"/>
    <col min="5" max="5" width="15" hidden="1" customWidth="1"/>
    <col min="6" max="6" width="25.33203125" hidden="1" customWidth="1"/>
    <col min="7" max="7" width="15.44140625" hidden="1" customWidth="1"/>
    <col min="8" max="8" width="14" bestFit="1" customWidth="1"/>
    <col min="9" max="9" width="14.88671875" bestFit="1" customWidth="1"/>
    <col min="10" max="10" width="11" bestFit="1" customWidth="1"/>
    <col min="11" max="11" width="12.109375" bestFit="1" customWidth="1"/>
    <col min="12" max="12" width="12.21875" bestFit="1" customWidth="1"/>
    <col min="13" max="14" width="10.77734375" bestFit="1" customWidth="1"/>
    <col min="15" max="15" width="12.109375" bestFit="1" customWidth="1"/>
    <col min="16" max="16" width="15.109375" bestFit="1" customWidth="1"/>
    <col min="17" max="17" width="7.44140625" bestFit="1" customWidth="1"/>
  </cols>
  <sheetData>
    <row r="2" spans="1:16" ht="20.399999999999999" x14ac:dyDescent="0.3">
      <c r="H2" s="76" t="s">
        <v>0</v>
      </c>
      <c r="I2" s="76" t="s">
        <v>1</v>
      </c>
      <c r="J2" s="77" t="s">
        <v>119</v>
      </c>
      <c r="K2" s="95"/>
    </row>
    <row r="3" spans="1:16" x14ac:dyDescent="0.3">
      <c r="H3" s="78">
        <f>I3*12</f>
        <v>1197228</v>
      </c>
      <c r="I3" s="79">
        <v>99769</v>
      </c>
      <c r="J3" s="97">
        <f>I3/B12</f>
        <v>560.5</v>
      </c>
      <c r="K3" s="96"/>
    </row>
    <row r="4" spans="1:16" x14ac:dyDescent="0.3">
      <c r="K4" s="77" t="s">
        <v>156</v>
      </c>
    </row>
    <row r="5" spans="1:16" ht="20.399999999999999" x14ac:dyDescent="0.3">
      <c r="H5" s="76" t="s">
        <v>0</v>
      </c>
      <c r="I5" s="76" t="s">
        <v>1</v>
      </c>
      <c r="J5" s="77" t="s">
        <v>119</v>
      </c>
      <c r="K5" s="98">
        <f>I6/I3-1</f>
        <v>0.21013070568568959</v>
      </c>
    </row>
    <row r="6" spans="1:16" x14ac:dyDescent="0.3">
      <c r="H6" s="78">
        <f>I6*12</f>
        <v>1448802.3645066668</v>
      </c>
      <c r="I6" s="79">
        <f>'Plano Orçamentario'!G34</f>
        <v>120733.53037555557</v>
      </c>
      <c r="J6" s="97">
        <f>I6/B12</f>
        <v>678.27826053682907</v>
      </c>
    </row>
    <row r="7" spans="1:16" ht="15.6" x14ac:dyDescent="0.3">
      <c r="A7" s="22" t="s">
        <v>135</v>
      </c>
      <c r="B7" s="69"/>
      <c r="C7" s="1"/>
    </row>
    <row r="8" spans="1:16" x14ac:dyDescent="0.3">
      <c r="A8" t="s">
        <v>124</v>
      </c>
      <c r="B8" s="90">
        <v>18</v>
      </c>
      <c r="C8" s="117">
        <v>6</v>
      </c>
      <c r="D8" s="118">
        <f>B8/C8</f>
        <v>3</v>
      </c>
      <c r="H8" s="58"/>
      <c r="I8" s="58"/>
      <c r="J8" s="58"/>
    </row>
    <row r="9" spans="1:16" x14ac:dyDescent="0.3">
      <c r="A9" t="s">
        <v>125</v>
      </c>
      <c r="B9" s="90">
        <v>50</v>
      </c>
      <c r="C9" s="117">
        <v>7</v>
      </c>
      <c r="D9" s="118">
        <f t="shared" ref="D9:D11" si="0">B9/C9</f>
        <v>7.1428571428571432</v>
      </c>
      <c r="E9" s="58"/>
      <c r="F9" s="5">
        <v>937</v>
      </c>
      <c r="G9" s="59"/>
    </row>
    <row r="10" spans="1:16" x14ac:dyDescent="0.3">
      <c r="A10" t="s">
        <v>136</v>
      </c>
      <c r="B10" s="90">
        <v>50</v>
      </c>
      <c r="C10" s="117">
        <v>8</v>
      </c>
      <c r="D10" s="118">
        <f t="shared" si="0"/>
        <v>6.25</v>
      </c>
      <c r="E10" s="58"/>
      <c r="F10" s="5"/>
      <c r="G10" s="59"/>
    </row>
    <row r="11" spans="1:16" x14ac:dyDescent="0.3">
      <c r="A11" t="s">
        <v>137</v>
      </c>
      <c r="B11" s="90">
        <v>60</v>
      </c>
      <c r="C11" s="117">
        <v>15</v>
      </c>
      <c r="D11" s="118">
        <f t="shared" si="0"/>
        <v>4</v>
      </c>
      <c r="E11" s="58"/>
      <c r="F11" s="5"/>
      <c r="G11" s="59"/>
    </row>
    <row r="12" spans="1:16" x14ac:dyDescent="0.3">
      <c r="B12" s="91">
        <f>SUM(B8:B11)</f>
        <v>178</v>
      </c>
      <c r="C12" s="5"/>
      <c r="D12" s="119">
        <f>SUM(D8:D11)</f>
        <v>20.392857142857142</v>
      </c>
      <c r="F12" s="5"/>
    </row>
    <row r="14" spans="1:16" ht="13.8" customHeight="1" x14ac:dyDescent="0.3">
      <c r="A14" s="23" t="s">
        <v>2</v>
      </c>
      <c r="B14" s="23" t="s">
        <v>3</v>
      </c>
      <c r="C14" s="23" t="s">
        <v>4</v>
      </c>
      <c r="D14" s="24" t="s">
        <v>5</v>
      </c>
      <c r="E14" s="23" t="s">
        <v>6</v>
      </c>
      <c r="F14" s="23" t="s">
        <v>7</v>
      </c>
      <c r="G14" s="23" t="s">
        <v>8</v>
      </c>
      <c r="H14" s="23" t="s">
        <v>9</v>
      </c>
      <c r="I14" s="23" t="s">
        <v>10</v>
      </c>
      <c r="J14" s="23" t="s">
        <v>11</v>
      </c>
      <c r="K14" s="23" t="s">
        <v>12</v>
      </c>
      <c r="L14" s="23" t="s">
        <v>13</v>
      </c>
      <c r="M14" s="23" t="s">
        <v>14</v>
      </c>
      <c r="N14" s="23" t="s">
        <v>15</v>
      </c>
      <c r="O14" s="23" t="s">
        <v>16</v>
      </c>
      <c r="P14" s="23" t="s">
        <v>17</v>
      </c>
    </row>
    <row r="15" spans="1:16" x14ac:dyDescent="0.3">
      <c r="A15" s="6" t="s">
        <v>117</v>
      </c>
      <c r="B15" s="61">
        <v>40</v>
      </c>
      <c r="C15" s="61">
        <v>1</v>
      </c>
      <c r="D15" s="80">
        <v>2976.46</v>
      </c>
      <c r="E15" s="6">
        <v>0</v>
      </c>
      <c r="F15" s="7">
        <f>$F$9*0</f>
        <v>0</v>
      </c>
      <c r="G15" s="6"/>
      <c r="H15" s="8">
        <f t="shared" ref="H15:H19" si="1">((D15+E15+F15+G15)*20%)</f>
        <v>595.29200000000003</v>
      </c>
      <c r="I15" s="8">
        <f>((E15+F15+G15+D15)*4.5%)</f>
        <v>133.94069999999999</v>
      </c>
      <c r="J15" s="8">
        <f t="shared" ref="J15:J19" si="2">D15*2%</f>
        <v>59.529200000000003</v>
      </c>
      <c r="K15" s="8">
        <f t="shared" ref="K15:K19" si="3">((G15+D15+E15+F15)*8%)</f>
        <v>238.11680000000001</v>
      </c>
      <c r="L15" s="8">
        <f t="shared" ref="L15:L19" si="4">((D15+E15+F15+G15)/12)</f>
        <v>248.03833333333333</v>
      </c>
      <c r="M15" s="9">
        <f t="shared" ref="M15:M19" si="5">L15*27.8%</f>
        <v>68.954656666666665</v>
      </c>
      <c r="N15" s="9">
        <f t="shared" ref="N15:N19" si="6">L15*8%</f>
        <v>19.843066666666665</v>
      </c>
      <c r="O15" s="8">
        <f t="shared" ref="O15:O19" si="7">((D15+E15+F15+G15)/12)</f>
        <v>248.03833333333333</v>
      </c>
      <c r="P15" s="8">
        <f t="shared" ref="P15:P19" si="8">O15/3</f>
        <v>82.679444444444442</v>
      </c>
    </row>
    <row r="16" spans="1:16" x14ac:dyDescent="0.3">
      <c r="A16" s="6" t="s">
        <v>131</v>
      </c>
      <c r="B16" s="61">
        <v>40</v>
      </c>
      <c r="C16" s="61">
        <v>1</v>
      </c>
      <c r="D16" s="80">
        <v>2836.71</v>
      </c>
      <c r="E16" s="6">
        <v>0</v>
      </c>
      <c r="F16" s="7">
        <f>$F$9*0</f>
        <v>0</v>
      </c>
      <c r="G16" s="6"/>
      <c r="H16" s="8">
        <f t="shared" ref="H16" si="9">((D16+E16+F16+G16)*20%)</f>
        <v>567.34199999999998</v>
      </c>
      <c r="I16" s="8">
        <f>((E16+F16+G16+D16)*4.5%)</f>
        <v>127.65195</v>
      </c>
      <c r="J16" s="8">
        <f t="shared" ref="J16" si="10">D16*2%</f>
        <v>56.734200000000001</v>
      </c>
      <c r="K16" s="8">
        <f t="shared" ref="K16" si="11">((G16+D16+E16+F16)*8%)</f>
        <v>226.93680000000001</v>
      </c>
      <c r="L16" s="8">
        <f t="shared" ref="L16" si="12">((D16+E16+F16+G16)/12)</f>
        <v>236.39250000000001</v>
      </c>
      <c r="M16" s="9">
        <f t="shared" ref="M16" si="13">L16*27.8%</f>
        <v>65.717115000000007</v>
      </c>
      <c r="N16" s="9">
        <f t="shared" ref="N16" si="14">L16*8%</f>
        <v>18.9114</v>
      </c>
      <c r="O16" s="8">
        <f t="shared" ref="O16" si="15">((D16+E16+F16+G16)/12)</f>
        <v>236.39250000000001</v>
      </c>
      <c r="P16" s="8">
        <f t="shared" ref="P16" si="16">O16/3</f>
        <v>78.797499999999999</v>
      </c>
    </row>
    <row r="17" spans="1:17" x14ac:dyDescent="0.3">
      <c r="A17" s="6" t="s">
        <v>118</v>
      </c>
      <c r="B17" s="61">
        <v>40</v>
      </c>
      <c r="C17" s="61">
        <v>4</v>
      </c>
      <c r="D17" s="80">
        <f>2619*C17</f>
        <v>10476</v>
      </c>
      <c r="E17" s="6">
        <v>0</v>
      </c>
      <c r="F17" s="7">
        <f t="shared" ref="F17:F21" si="17">$F$9*0</f>
        <v>0</v>
      </c>
      <c r="G17" s="6"/>
      <c r="H17" s="8">
        <f t="shared" si="1"/>
        <v>2095.2000000000003</v>
      </c>
      <c r="I17" s="8">
        <f t="shared" ref="I17:I19" si="18">((E17+F17+G17+D17)*4.5%)</f>
        <v>471.41999999999996</v>
      </c>
      <c r="J17" s="8">
        <f t="shared" si="2"/>
        <v>209.52</v>
      </c>
      <c r="K17" s="8">
        <f t="shared" si="3"/>
        <v>838.08</v>
      </c>
      <c r="L17" s="8">
        <f t="shared" si="4"/>
        <v>873</v>
      </c>
      <c r="M17" s="9">
        <f t="shared" si="5"/>
        <v>242.69400000000002</v>
      </c>
      <c r="N17" s="9">
        <f t="shared" si="6"/>
        <v>69.84</v>
      </c>
      <c r="O17" s="8">
        <f t="shared" si="7"/>
        <v>873</v>
      </c>
      <c r="P17" s="8">
        <f t="shared" si="8"/>
        <v>291</v>
      </c>
    </row>
    <row r="18" spans="1:17" x14ac:dyDescent="0.3">
      <c r="A18" s="6" t="s">
        <v>133</v>
      </c>
      <c r="B18" s="61">
        <v>40</v>
      </c>
      <c r="C18" s="61">
        <v>15</v>
      </c>
      <c r="D18" s="80">
        <f>1691*C18</f>
        <v>25365</v>
      </c>
      <c r="E18" s="6">
        <v>0</v>
      </c>
      <c r="F18" s="7">
        <f t="shared" si="17"/>
        <v>0</v>
      </c>
      <c r="G18" s="6"/>
      <c r="H18" s="8">
        <f t="shared" si="1"/>
        <v>5073</v>
      </c>
      <c r="I18" s="8">
        <f t="shared" si="18"/>
        <v>1141.425</v>
      </c>
      <c r="J18" s="8">
        <f t="shared" si="2"/>
        <v>507.3</v>
      </c>
      <c r="K18" s="8">
        <f t="shared" si="3"/>
        <v>2029.2</v>
      </c>
      <c r="L18" s="8">
        <f t="shared" si="4"/>
        <v>2113.75</v>
      </c>
      <c r="M18" s="9">
        <f t="shared" si="5"/>
        <v>587.62250000000006</v>
      </c>
      <c r="N18" s="9">
        <f t="shared" si="6"/>
        <v>169.1</v>
      </c>
      <c r="O18" s="8">
        <f t="shared" si="7"/>
        <v>2113.75</v>
      </c>
      <c r="P18" s="8">
        <f t="shared" si="8"/>
        <v>704.58333333333337</v>
      </c>
    </row>
    <row r="19" spans="1:17" x14ac:dyDescent="0.3">
      <c r="A19" s="6" t="s">
        <v>134</v>
      </c>
      <c r="B19" s="61">
        <v>40</v>
      </c>
      <c r="C19" s="61">
        <v>1</v>
      </c>
      <c r="D19" s="80">
        <v>1442</v>
      </c>
      <c r="E19" s="6">
        <v>0</v>
      </c>
      <c r="F19" s="7">
        <f t="shared" si="17"/>
        <v>0</v>
      </c>
      <c r="G19" s="6"/>
      <c r="H19" s="8">
        <f t="shared" si="1"/>
        <v>288.40000000000003</v>
      </c>
      <c r="I19" s="8">
        <f t="shared" si="18"/>
        <v>64.89</v>
      </c>
      <c r="J19" s="8">
        <f t="shared" si="2"/>
        <v>28.84</v>
      </c>
      <c r="K19" s="8">
        <f t="shared" si="3"/>
        <v>115.36</v>
      </c>
      <c r="L19" s="8">
        <f t="shared" si="4"/>
        <v>120.16666666666667</v>
      </c>
      <c r="M19" s="9">
        <f t="shared" si="5"/>
        <v>33.406333333333336</v>
      </c>
      <c r="N19" s="9">
        <f t="shared" si="6"/>
        <v>9.6133333333333333</v>
      </c>
      <c r="O19" s="8">
        <f t="shared" si="7"/>
        <v>120.16666666666667</v>
      </c>
      <c r="P19" s="8">
        <f t="shared" si="8"/>
        <v>40.055555555555557</v>
      </c>
    </row>
    <row r="20" spans="1:17" x14ac:dyDescent="0.3">
      <c r="A20" s="6" t="s">
        <v>132</v>
      </c>
      <c r="B20" s="61">
        <v>40</v>
      </c>
      <c r="C20" s="61">
        <v>1</v>
      </c>
      <c r="D20" s="80">
        <v>1442</v>
      </c>
      <c r="E20" s="6">
        <v>0</v>
      </c>
      <c r="F20" s="7">
        <f t="shared" si="17"/>
        <v>0</v>
      </c>
      <c r="G20" s="6"/>
      <c r="H20" s="8">
        <f t="shared" ref="H20" si="19">((D20+E20+F20+G20)*20%)</f>
        <v>288.40000000000003</v>
      </c>
      <c r="I20" s="8">
        <f t="shared" ref="I20" si="20">((E20+F20+G20+D20)*4.5%)</f>
        <v>64.89</v>
      </c>
      <c r="J20" s="8">
        <f t="shared" ref="J20" si="21">D20*2%</f>
        <v>28.84</v>
      </c>
      <c r="K20" s="8">
        <f t="shared" ref="K20" si="22">((G20+D20+E20+F20)*8%)</f>
        <v>115.36</v>
      </c>
      <c r="L20" s="8">
        <f t="shared" ref="L20" si="23">((D20+E20+F20+G20)/12)</f>
        <v>120.16666666666667</v>
      </c>
      <c r="M20" s="9">
        <f t="shared" ref="M20" si="24">L20*27.8%</f>
        <v>33.406333333333336</v>
      </c>
      <c r="N20" s="9">
        <f t="shared" ref="N20" si="25">L20*8%</f>
        <v>9.6133333333333333</v>
      </c>
      <c r="O20" s="8">
        <f t="shared" ref="O20" si="26">((D20+E20+F20+G20)/12)</f>
        <v>120.16666666666667</v>
      </c>
      <c r="P20" s="8">
        <f t="shared" ref="P20" si="27">O20/3</f>
        <v>40.055555555555557</v>
      </c>
    </row>
    <row r="21" spans="1:17" x14ac:dyDescent="0.3">
      <c r="A21" s="6" t="s">
        <v>129</v>
      </c>
      <c r="B21" s="61">
        <v>40</v>
      </c>
      <c r="C21" s="61">
        <v>3</v>
      </c>
      <c r="D21" s="80">
        <f>1442*C21</f>
        <v>4326</v>
      </c>
      <c r="E21" s="6">
        <v>0</v>
      </c>
      <c r="F21" s="7">
        <f t="shared" si="17"/>
        <v>0</v>
      </c>
      <c r="G21" s="6"/>
      <c r="H21" s="8">
        <f t="shared" ref="H21" si="28">((D21+E21+F21+G21)*20%)</f>
        <v>865.2</v>
      </c>
      <c r="I21" s="8">
        <f t="shared" ref="I21" si="29">((E21+F21+G21+D21)*4.5%)</f>
        <v>194.67</v>
      </c>
      <c r="J21" s="8">
        <f t="shared" ref="J21" si="30">D21*2%</f>
        <v>86.52</v>
      </c>
      <c r="K21" s="8">
        <f t="shared" ref="K21" si="31">((G21+D21+E21+F21)*8%)</f>
        <v>346.08</v>
      </c>
      <c r="L21" s="8">
        <f t="shared" ref="L21" si="32">((D21+E21+F21+G21)/12)</f>
        <v>360.5</v>
      </c>
      <c r="M21" s="9">
        <f t="shared" ref="M21" si="33">L21*27.8%</f>
        <v>100.21900000000001</v>
      </c>
      <c r="N21" s="9">
        <f t="shared" ref="N21" si="34">L21*8%</f>
        <v>28.84</v>
      </c>
      <c r="O21" s="8">
        <f t="shared" ref="O21" si="35">((D21+E21+F21+G21)/12)</f>
        <v>360.5</v>
      </c>
      <c r="P21" s="8">
        <f t="shared" ref="P21" si="36">O21/3</f>
        <v>120.16666666666667</v>
      </c>
    </row>
    <row r="22" spans="1:17" x14ac:dyDescent="0.3">
      <c r="A22" s="92"/>
      <c r="B22" s="93"/>
      <c r="C22" s="93"/>
      <c r="D22" s="93"/>
      <c r="E22" s="93"/>
      <c r="F22" s="93"/>
      <c r="G22" s="93"/>
      <c r="H22" s="93"/>
      <c r="I22" s="93"/>
      <c r="J22" s="93"/>
      <c r="K22" s="93"/>
      <c r="L22" s="93"/>
      <c r="M22" s="93"/>
      <c r="N22" s="93"/>
      <c r="O22" s="93"/>
      <c r="P22" s="93"/>
      <c r="Q22" s="94"/>
    </row>
    <row r="23" spans="1:17" s="28" customFormat="1" ht="15.6" x14ac:dyDescent="0.3">
      <c r="A23" s="25" t="s">
        <v>26</v>
      </c>
      <c r="B23" s="26"/>
      <c r="C23" s="26">
        <f t="shared" ref="C23:P23" si="37">SUM(C15:C21)</f>
        <v>26</v>
      </c>
      <c r="D23" s="27">
        <f t="shared" si="37"/>
        <v>48864.17</v>
      </c>
      <c r="E23" s="27">
        <f t="shared" si="37"/>
        <v>0</v>
      </c>
      <c r="F23" s="27">
        <f t="shared" si="37"/>
        <v>0</v>
      </c>
      <c r="G23" s="27">
        <f t="shared" si="37"/>
        <v>0</v>
      </c>
      <c r="H23" s="27">
        <f t="shared" si="37"/>
        <v>9772.8340000000007</v>
      </c>
      <c r="I23" s="27">
        <f t="shared" si="37"/>
        <v>2198.8876500000001</v>
      </c>
      <c r="J23" s="27">
        <f t="shared" si="37"/>
        <v>977.28340000000003</v>
      </c>
      <c r="K23" s="27">
        <f t="shared" si="37"/>
        <v>3909.1336000000001</v>
      </c>
      <c r="L23" s="27">
        <f t="shared" si="37"/>
        <v>4072.0141666666664</v>
      </c>
      <c r="M23" s="27">
        <f t="shared" si="37"/>
        <v>1132.0199383333334</v>
      </c>
      <c r="N23" s="27">
        <f t="shared" si="37"/>
        <v>325.76113333333336</v>
      </c>
      <c r="O23" s="27">
        <f t="shared" si="37"/>
        <v>4072.0141666666664</v>
      </c>
      <c r="P23" s="27">
        <f t="shared" si="37"/>
        <v>1357.3380555555559</v>
      </c>
    </row>
    <row r="24" spans="1:17" x14ac:dyDescent="0.3">
      <c r="A24" s="2"/>
      <c r="B24" s="2"/>
      <c r="C24" s="2"/>
      <c r="D24" s="2"/>
      <c r="E24" s="2"/>
      <c r="F24" s="2"/>
      <c r="G24" s="2"/>
      <c r="H24" s="2"/>
      <c r="I24" s="2"/>
      <c r="J24" s="2"/>
      <c r="K24" s="2"/>
      <c r="L24" s="2"/>
      <c r="M24" s="2"/>
      <c r="N24" s="2"/>
      <c r="O24" s="2"/>
      <c r="P24" s="2"/>
      <c r="Q24" s="2"/>
    </row>
    <row r="25" spans="1:17" x14ac:dyDescent="0.3">
      <c r="I25" s="23" t="s">
        <v>18</v>
      </c>
      <c r="J25" s="23" t="s">
        <v>19</v>
      </c>
      <c r="K25" s="23" t="s">
        <v>21</v>
      </c>
      <c r="L25" s="23" t="s">
        <v>22</v>
      </c>
      <c r="M25" s="24" t="s">
        <v>148</v>
      </c>
      <c r="N25" s="23" t="s">
        <v>23</v>
      </c>
      <c r="O25" s="23" t="s">
        <v>24</v>
      </c>
      <c r="P25" s="23" t="s">
        <v>25</v>
      </c>
    </row>
    <row r="26" spans="1:17" x14ac:dyDescent="0.3">
      <c r="I26" s="8">
        <f t="shared" ref="I26:I32" si="38">((O15+P15)*27.8%)</f>
        <v>91.939542222222229</v>
      </c>
      <c r="J26" s="8">
        <f t="shared" ref="J26:J32" si="39">((O15+P15)*8%)</f>
        <v>26.45742222222222</v>
      </c>
      <c r="K26" s="8">
        <f t="shared" ref="K26:K32" si="40">(((K15+N15+J26)*50%))</f>
        <v>142.20864444444447</v>
      </c>
      <c r="L26" s="8">
        <f t="shared" ref="L26:L32" si="41">C15*21*22</f>
        <v>462</v>
      </c>
      <c r="M26" s="8">
        <f>D15*5.5%</f>
        <v>163.70529999999999</v>
      </c>
      <c r="N26" s="8">
        <f t="shared" ref="N26:N32" si="42">39.2*C15</f>
        <v>39.200000000000003</v>
      </c>
      <c r="O26" s="8">
        <f t="shared" ref="O26:O32" si="43">(((D15+F15+L15+O15+P15)*1%))</f>
        <v>35.552161111111111</v>
      </c>
      <c r="P26" s="9">
        <f t="shared" ref="P26:P32" si="44">SUM(D15:P15,I26:O26)</f>
        <v>5631.9556044444425</v>
      </c>
      <c r="Q26" s="21">
        <f>SUM(M26:M26:N26)</f>
        <v>202.90530000000001</v>
      </c>
    </row>
    <row r="27" spans="1:17" x14ac:dyDescent="0.3">
      <c r="I27" s="8">
        <f t="shared" si="38"/>
        <v>87.622820000000004</v>
      </c>
      <c r="J27" s="8">
        <f t="shared" si="39"/>
        <v>25.215199999999999</v>
      </c>
      <c r="K27" s="8">
        <f t="shared" si="40"/>
        <v>135.5317</v>
      </c>
      <c r="L27" s="8">
        <f t="shared" si="41"/>
        <v>462</v>
      </c>
      <c r="M27" s="8">
        <f t="shared" ref="M27:M32" si="45">D16*5.5%</f>
        <v>156.01904999999999</v>
      </c>
      <c r="N27" s="8">
        <f t="shared" si="42"/>
        <v>39.200000000000003</v>
      </c>
      <c r="O27" s="8">
        <f t="shared" si="43"/>
        <v>33.882925</v>
      </c>
      <c r="P27" s="9">
        <f t="shared" si="44"/>
        <v>5391.0576599999986</v>
      </c>
      <c r="Q27" s="21">
        <f>SUM(M27:M27:N27)</f>
        <v>195.21904999999998</v>
      </c>
    </row>
    <row r="28" spans="1:17" x14ac:dyDescent="0.3">
      <c r="I28" s="8">
        <f t="shared" si="38"/>
        <v>323.59200000000004</v>
      </c>
      <c r="J28" s="8">
        <f t="shared" si="39"/>
        <v>93.12</v>
      </c>
      <c r="K28" s="8">
        <f t="shared" si="40"/>
        <v>500.52000000000004</v>
      </c>
      <c r="L28" s="8">
        <f t="shared" si="41"/>
        <v>1848</v>
      </c>
      <c r="M28" s="8">
        <f t="shared" si="45"/>
        <v>576.17999999999995</v>
      </c>
      <c r="N28" s="8">
        <f t="shared" si="42"/>
        <v>156.80000000000001</v>
      </c>
      <c r="O28" s="8">
        <f t="shared" si="43"/>
        <v>125.13000000000001</v>
      </c>
      <c r="P28" s="9">
        <f t="shared" si="44"/>
        <v>20063.096000000001</v>
      </c>
      <c r="Q28" s="21">
        <f>SUM(M28:M28:N28)</f>
        <v>732.98</v>
      </c>
    </row>
    <row r="29" spans="1:17" x14ac:dyDescent="0.3">
      <c r="I29" s="8">
        <f t="shared" si="38"/>
        <v>783.49666666666678</v>
      </c>
      <c r="J29" s="8">
        <f t="shared" si="39"/>
        <v>225.4666666666667</v>
      </c>
      <c r="K29" s="8">
        <f t="shared" si="40"/>
        <v>1211.8833333333334</v>
      </c>
      <c r="L29" s="8">
        <f t="shared" si="41"/>
        <v>6930</v>
      </c>
      <c r="M29" s="8">
        <f t="shared" si="45"/>
        <v>1395.075</v>
      </c>
      <c r="N29" s="8">
        <f t="shared" si="42"/>
        <v>588</v>
      </c>
      <c r="O29" s="8">
        <f t="shared" si="43"/>
        <v>302.9708333333333</v>
      </c>
      <c r="P29" s="9">
        <f t="shared" si="44"/>
        <v>51241.623333333322</v>
      </c>
      <c r="Q29" s="21">
        <f>SUM(M29:M29:N29)</f>
        <v>1983.075</v>
      </c>
    </row>
    <row r="30" spans="1:17" x14ac:dyDescent="0.3">
      <c r="I30" s="8">
        <f t="shared" si="38"/>
        <v>44.541777777777781</v>
      </c>
      <c r="J30" s="8">
        <f t="shared" si="39"/>
        <v>12.817777777777778</v>
      </c>
      <c r="K30" s="8">
        <f t="shared" si="40"/>
        <v>68.895555555555546</v>
      </c>
      <c r="L30" s="8">
        <f t="shared" si="41"/>
        <v>462</v>
      </c>
      <c r="M30" s="8">
        <f t="shared" si="45"/>
        <v>79.31</v>
      </c>
      <c r="N30" s="8">
        <f t="shared" si="42"/>
        <v>39.200000000000003</v>
      </c>
      <c r="O30" s="8">
        <f t="shared" si="43"/>
        <v>17.22388888888889</v>
      </c>
      <c r="P30" s="9">
        <f t="shared" si="44"/>
        <v>2986.8875555555551</v>
      </c>
      <c r="Q30" s="21">
        <f>SUM(M30:M30:N30)</f>
        <v>118.51</v>
      </c>
    </row>
    <row r="31" spans="1:17" x14ac:dyDescent="0.3">
      <c r="I31" s="8">
        <f t="shared" si="38"/>
        <v>44.541777777777781</v>
      </c>
      <c r="J31" s="8">
        <f t="shared" si="39"/>
        <v>12.817777777777778</v>
      </c>
      <c r="K31" s="8">
        <f t="shared" si="40"/>
        <v>68.895555555555546</v>
      </c>
      <c r="L31" s="8">
        <f t="shared" si="41"/>
        <v>462</v>
      </c>
      <c r="M31" s="8">
        <f t="shared" si="45"/>
        <v>79.31</v>
      </c>
      <c r="N31" s="8">
        <f t="shared" si="42"/>
        <v>39.200000000000003</v>
      </c>
      <c r="O31" s="8">
        <f t="shared" si="43"/>
        <v>17.22388888888889</v>
      </c>
      <c r="P31" s="9">
        <f t="shared" si="44"/>
        <v>2986.8875555555551</v>
      </c>
      <c r="Q31" s="21">
        <f>SUM(M31:M31:N31)</f>
        <v>118.51</v>
      </c>
    </row>
    <row r="32" spans="1:17" x14ac:dyDescent="0.3">
      <c r="I32" s="8">
        <f t="shared" si="38"/>
        <v>133.62533333333334</v>
      </c>
      <c r="J32" s="8">
        <f t="shared" si="39"/>
        <v>38.453333333333333</v>
      </c>
      <c r="K32" s="8">
        <f t="shared" si="40"/>
        <v>206.68666666666664</v>
      </c>
      <c r="L32" s="8">
        <f t="shared" si="41"/>
        <v>1386</v>
      </c>
      <c r="M32" s="8">
        <f t="shared" si="45"/>
        <v>237.93</v>
      </c>
      <c r="N32" s="8">
        <f t="shared" si="42"/>
        <v>117.60000000000001</v>
      </c>
      <c r="O32" s="8">
        <f t="shared" si="43"/>
        <v>51.671666666666674</v>
      </c>
      <c r="P32" s="9">
        <f t="shared" si="44"/>
        <v>8960.6626666666671</v>
      </c>
      <c r="Q32" s="21"/>
    </row>
    <row r="34" spans="9:17" ht="15.6" x14ac:dyDescent="0.3">
      <c r="I34" s="27">
        <f t="shared" ref="I34:N34" si="46">SUM(I26:I32)</f>
        <v>1509.3599177777778</v>
      </c>
      <c r="J34" s="27">
        <f t="shared" si="46"/>
        <v>434.34817777777783</v>
      </c>
      <c r="K34" s="27">
        <f t="shared" si="46"/>
        <v>2334.6214555555553</v>
      </c>
      <c r="L34" s="27">
        <f t="shared" si="46"/>
        <v>12012</v>
      </c>
      <c r="M34" s="27">
        <f t="shared" si="46"/>
        <v>2687.5293499999998</v>
      </c>
      <c r="N34" s="27">
        <f t="shared" si="46"/>
        <v>1019.2000000000002</v>
      </c>
      <c r="O34" s="27">
        <f t="shared" ref="O34:P34" si="47">SUM(O26:O32)</f>
        <v>583.6553638888887</v>
      </c>
      <c r="P34" s="27">
        <f t="shared" si="47"/>
        <v>97262.17037555555</v>
      </c>
      <c r="Q34" s="55">
        <f>P34/I6</f>
        <v>0.80559369110644208</v>
      </c>
    </row>
  </sheetData>
  <phoneticPr fontId="5" type="noConversion"/>
  <pageMargins left="3.937007874015748E-2" right="3.937007874015748E-2" top="0.74803149606299213" bottom="0.74803149606299213" header="0.31496062992125984" footer="0.31496062992125984"/>
  <pageSetup paperSize="9" scale="70" orientation="landscape" horizontalDpi="4294967293" verticalDpi="4294967293" r:id="rId1"/>
  <headerFooter>
    <oddHeader>&amp;R&amp;"-,Negrito itálico"&amp;D</oddHeader>
    <oddFooter>&amp;R&amp;"-,Negrito itálico"Edson Oliveira - Controladoria IGEVE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F33"/>
  <sheetViews>
    <sheetView zoomScale="95" zoomScaleNormal="95" zoomScalePageLayoutView="75" workbookViewId="0">
      <selection activeCell="G15" sqref="G15"/>
    </sheetView>
  </sheetViews>
  <sheetFormatPr defaultColWidth="11.44140625" defaultRowHeight="14.4" x14ac:dyDescent="0.3"/>
  <cols>
    <col min="1" max="1" width="56.21875" bestFit="1" customWidth="1"/>
    <col min="2" max="2" width="12.109375" customWidth="1"/>
    <col min="3" max="3" width="7.21875" customWidth="1"/>
    <col min="4" max="4" width="13.6640625" customWidth="1"/>
    <col min="5" max="5" width="11.6640625" hidden="1" customWidth="1"/>
    <col min="6" max="6" width="15.77734375" bestFit="1" customWidth="1"/>
    <col min="7" max="7" width="14" bestFit="1" customWidth="1"/>
    <col min="8" max="8" width="15.77734375" bestFit="1" customWidth="1"/>
    <col min="9" max="10" width="14" bestFit="1" customWidth="1"/>
    <col min="11" max="11" width="12.88671875" bestFit="1" customWidth="1"/>
    <col min="12" max="14" width="14" bestFit="1" customWidth="1"/>
    <col min="15" max="15" width="12.88671875" bestFit="1" customWidth="1"/>
    <col min="16" max="17" width="14" bestFit="1" customWidth="1"/>
    <col min="18" max="18" width="12.88671875" bestFit="1" customWidth="1"/>
    <col min="19" max="19" width="57.33203125" bestFit="1" customWidth="1"/>
    <col min="20" max="20" width="10" bestFit="1" customWidth="1"/>
    <col min="21" max="21" width="12.88671875" bestFit="1" customWidth="1"/>
    <col min="22" max="22" width="15.33203125" bestFit="1" customWidth="1"/>
    <col min="23" max="23" width="5.88671875" customWidth="1"/>
    <col min="24" max="24" width="10" bestFit="1" customWidth="1"/>
    <col min="25" max="25" width="12.88671875" bestFit="1" customWidth="1"/>
    <col min="26" max="26" width="5.88671875" bestFit="1" customWidth="1"/>
    <col min="27" max="27" width="10" bestFit="1" customWidth="1"/>
    <col min="28" max="28" width="12.88671875" bestFit="1" customWidth="1"/>
    <col min="29" max="29" width="5.88671875" customWidth="1"/>
    <col min="30" max="30" width="10" bestFit="1" customWidth="1"/>
    <col min="31" max="31" width="12.88671875" bestFit="1" customWidth="1"/>
    <col min="32" max="32" width="38.77734375" bestFit="1" customWidth="1"/>
  </cols>
  <sheetData>
    <row r="2" spans="1:32" ht="21" x14ac:dyDescent="0.4">
      <c r="A2" s="121"/>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row>
    <row r="3" spans="1:32" ht="21" x14ac:dyDescent="0.4">
      <c r="A3" s="12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row>
    <row r="4" spans="1:32" x14ac:dyDescent="0.3">
      <c r="A4" s="123"/>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row>
    <row r="5" spans="1:32" ht="18" x14ac:dyDescent="0.35">
      <c r="A5" s="122"/>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row>
    <row r="6" spans="1:32" ht="18" x14ac:dyDescent="0.35">
      <c r="A6" s="22" t="s">
        <v>27</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row>
    <row r="7" spans="1:32" ht="18" x14ac:dyDescent="0.35">
      <c r="A7" t="s">
        <v>28</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row>
    <row r="8" spans="1:32" ht="18" x14ac:dyDescent="0.35">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row>
    <row r="10" spans="1:32" ht="14.1" customHeight="1" x14ac:dyDescent="0.3">
      <c r="A10" s="120" t="s">
        <v>29</v>
      </c>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row>
    <row r="11" spans="1:32" ht="27.9" customHeight="1" x14ac:dyDescent="0.3">
      <c r="A11" s="126" t="s">
        <v>30</v>
      </c>
      <c r="B11" s="126" t="s">
        <v>31</v>
      </c>
      <c r="C11" s="126" t="s">
        <v>32</v>
      </c>
      <c r="D11" s="126" t="s">
        <v>33</v>
      </c>
      <c r="E11" s="126" t="s">
        <v>34</v>
      </c>
      <c r="F11" s="126" t="s">
        <v>35</v>
      </c>
      <c r="G11" s="128"/>
      <c r="H11" s="129"/>
      <c r="I11" s="129"/>
      <c r="J11" s="129"/>
      <c r="K11" s="129"/>
      <c r="L11" s="129"/>
      <c r="M11" s="129"/>
      <c r="N11" s="129"/>
      <c r="O11" s="129"/>
      <c r="P11" s="129"/>
      <c r="Q11" s="130"/>
      <c r="R11" s="66"/>
      <c r="S11" s="127" t="s">
        <v>36</v>
      </c>
      <c r="T11" s="127" t="s">
        <v>37</v>
      </c>
      <c r="U11" s="127"/>
      <c r="V11" s="66" t="s">
        <v>38</v>
      </c>
      <c r="W11" s="128" t="s">
        <v>39</v>
      </c>
      <c r="X11" s="129"/>
      <c r="Y11" s="130"/>
      <c r="Z11" s="126" t="s">
        <v>40</v>
      </c>
      <c r="AA11" s="126"/>
      <c r="AB11" s="126"/>
      <c r="AC11" s="126" t="s">
        <v>41</v>
      </c>
      <c r="AD11" s="126"/>
      <c r="AE11" s="126"/>
      <c r="AF11" s="124" t="s">
        <v>42</v>
      </c>
    </row>
    <row r="12" spans="1:32" ht="27.9" customHeight="1" x14ac:dyDescent="0.3">
      <c r="A12" s="126"/>
      <c r="B12" s="126"/>
      <c r="C12" s="126"/>
      <c r="D12" s="126"/>
      <c r="E12" s="126"/>
      <c r="F12" s="126"/>
      <c r="G12" s="66" t="s">
        <v>12</v>
      </c>
      <c r="H12" s="66" t="s">
        <v>43</v>
      </c>
      <c r="I12" s="66" t="s">
        <v>13</v>
      </c>
      <c r="J12" s="66" t="s">
        <v>14</v>
      </c>
      <c r="K12" s="66" t="s">
        <v>15</v>
      </c>
      <c r="L12" s="66" t="s">
        <v>16</v>
      </c>
      <c r="M12" s="66" t="s">
        <v>17</v>
      </c>
      <c r="N12" s="66" t="s">
        <v>18</v>
      </c>
      <c r="O12" s="66" t="s">
        <v>19</v>
      </c>
      <c r="P12" s="66" t="s">
        <v>20</v>
      </c>
      <c r="Q12" s="66" t="s">
        <v>21</v>
      </c>
      <c r="R12" s="66" t="s">
        <v>24</v>
      </c>
      <c r="S12" s="127"/>
      <c r="T12" s="66" t="s">
        <v>44</v>
      </c>
      <c r="U12" s="66" t="s">
        <v>45</v>
      </c>
      <c r="V12" s="66" t="s">
        <v>45</v>
      </c>
      <c r="W12" s="66" t="s">
        <v>46</v>
      </c>
      <c r="X12" s="66" t="s">
        <v>47</v>
      </c>
      <c r="Y12" s="66" t="s">
        <v>45</v>
      </c>
      <c r="Z12" s="66" t="s">
        <v>46</v>
      </c>
      <c r="AA12" s="66" t="s">
        <v>47</v>
      </c>
      <c r="AB12" s="66" t="s">
        <v>45</v>
      </c>
      <c r="AC12" s="66" t="s">
        <v>46</v>
      </c>
      <c r="AD12" s="66" t="s">
        <v>47</v>
      </c>
      <c r="AE12" s="66" t="s">
        <v>45</v>
      </c>
      <c r="AF12" s="125"/>
    </row>
    <row r="13" spans="1:32" x14ac:dyDescent="0.3">
      <c r="A13" s="13" t="e">
        <f>VPTA!#REF!</f>
        <v>#REF!</v>
      </c>
      <c r="B13" s="14" t="e">
        <f>VLOOKUP(A13,VPTA!A:Q,2,FALSE)</f>
        <v>#REF!</v>
      </c>
      <c r="C13" s="14" t="e">
        <f>VLOOKUP(A13,VPTA!A:Q,3,FALSE)</f>
        <v>#REF!</v>
      </c>
      <c r="D13" s="15" t="e">
        <f>VLOOKUP(A13,VPTA!A:Q,4,FALSE)</f>
        <v>#REF!</v>
      </c>
      <c r="E13" s="15"/>
      <c r="F13" s="16" t="e">
        <f t="shared" ref="F13:F19" si="0">SUM(D13:E13)*C13</f>
        <v>#REF!</v>
      </c>
      <c r="G13" s="16" t="e">
        <f t="shared" ref="G13" si="1">F13*8%</f>
        <v>#REF!</v>
      </c>
      <c r="H13" s="16" t="e">
        <f t="shared" ref="H13:H19" si="2">(F13*5.8%)+(F13*20%)</f>
        <v>#REF!</v>
      </c>
      <c r="I13" s="16" t="e">
        <f t="shared" ref="I13:I19" si="3">F13/12</f>
        <v>#REF!</v>
      </c>
      <c r="J13" s="16" t="e">
        <f t="shared" ref="J13" si="4">I13*27.8%</f>
        <v>#REF!</v>
      </c>
      <c r="K13" s="16" t="e">
        <f t="shared" ref="K13:K19" si="5">I13*8%</f>
        <v>#REF!</v>
      </c>
      <c r="L13" s="16" t="e">
        <f t="shared" ref="L13:L19" si="6">F13/12</f>
        <v>#REF!</v>
      </c>
      <c r="M13" s="16" t="e">
        <f>L13/3</f>
        <v>#REF!</v>
      </c>
      <c r="N13" s="16" t="e">
        <f t="shared" ref="N13:N19" si="7">(L13+M13)*27.8%</f>
        <v>#REF!</v>
      </c>
      <c r="O13" s="16" t="e">
        <f t="shared" ref="O13:O19" si="8">(L13+M13)*8%</f>
        <v>#REF!</v>
      </c>
      <c r="P13" s="16" t="e">
        <f>F13/12</f>
        <v>#REF!</v>
      </c>
      <c r="Q13" s="16" t="e">
        <f>((G13+K13+O13)*50%)</f>
        <v>#REF!</v>
      </c>
      <c r="R13" s="16" t="e">
        <f t="shared" ref="R13:R19" si="9">(F13+I13+L13+M13+P13)*1%</f>
        <v>#REF!</v>
      </c>
      <c r="S13" s="16" t="e">
        <f>SUM(I13:R13)</f>
        <v>#REF!</v>
      </c>
      <c r="T13" s="15">
        <v>132</v>
      </c>
      <c r="U13" s="16" t="e">
        <f>T13*C13</f>
        <v>#REF!</v>
      </c>
      <c r="V13" s="16" t="e">
        <f>SUM(U13+S13+H13+G13+F13)</f>
        <v>#REF!</v>
      </c>
      <c r="W13" s="18" t="e">
        <f>C13</f>
        <v>#REF!</v>
      </c>
      <c r="X13" s="16">
        <v>504</v>
      </c>
      <c r="Y13" s="16" t="e">
        <f>X13*W13</f>
        <v>#REF!</v>
      </c>
      <c r="Z13" s="14" t="e">
        <f>C13</f>
        <v>#REF!</v>
      </c>
      <c r="AA13" s="19">
        <v>132</v>
      </c>
      <c r="AB13" s="15" t="e">
        <f t="shared" ref="AB13:AB20" si="10">AA13*Z13</f>
        <v>#REF!</v>
      </c>
      <c r="AC13" s="14" t="e">
        <f t="shared" ref="AC13:AC19" si="11">C13</f>
        <v>#REF!</v>
      </c>
      <c r="AD13" s="19">
        <v>313</v>
      </c>
      <c r="AE13" s="15" t="e">
        <f t="shared" ref="AE13:AE16" si="12">AD13*AC13</f>
        <v>#REF!</v>
      </c>
      <c r="AF13" s="16" t="e">
        <f t="shared" ref="AF13:AF20" si="13">V13+AE13+Y13</f>
        <v>#REF!</v>
      </c>
    </row>
    <row r="14" spans="1:32" x14ac:dyDescent="0.3">
      <c r="A14" s="13" t="str">
        <f>VPTA!A15</f>
        <v>DIRETOR</v>
      </c>
      <c r="B14" s="14">
        <f>VLOOKUP(A14,VPTA!A:Q,2,FALSE)</f>
        <v>40</v>
      </c>
      <c r="C14" s="14">
        <f>VLOOKUP(A14,VPTA!A:Q,3,FALSE)</f>
        <v>1</v>
      </c>
      <c r="D14" s="15">
        <f>VLOOKUP(A14,VPTA!A:Q,4,FALSE)</f>
        <v>2976.46</v>
      </c>
      <c r="E14" s="15"/>
      <c r="F14" s="16">
        <f t="shared" ref="F14" si="14">SUM(D14:E14)*C14</f>
        <v>2976.46</v>
      </c>
      <c r="G14" s="16">
        <f t="shared" ref="G14" si="15">F14*8%</f>
        <v>238.11680000000001</v>
      </c>
      <c r="H14" s="16">
        <f t="shared" ref="H14" si="16">(F14*5.8%)+(F14*20%)</f>
        <v>767.92668000000003</v>
      </c>
      <c r="I14" s="16">
        <f t="shared" ref="I14" si="17">F14/12</f>
        <v>248.03833333333333</v>
      </c>
      <c r="J14" s="16">
        <f t="shared" ref="J14" si="18">I14*27.8%</f>
        <v>68.954656666666665</v>
      </c>
      <c r="K14" s="16">
        <f t="shared" ref="K14" si="19">I14*8%</f>
        <v>19.843066666666665</v>
      </c>
      <c r="L14" s="16">
        <f t="shared" ref="L14" si="20">F14/12</f>
        <v>248.03833333333333</v>
      </c>
      <c r="M14" s="16">
        <f>L14/3</f>
        <v>82.679444444444442</v>
      </c>
      <c r="N14" s="16">
        <f t="shared" ref="N14" si="21">(L14+M14)*27.8%</f>
        <v>91.939542222222229</v>
      </c>
      <c r="O14" s="16">
        <f t="shared" ref="O14" si="22">(L14+M14)*8%</f>
        <v>26.45742222222222</v>
      </c>
      <c r="P14" s="16">
        <f>F14/12</f>
        <v>248.03833333333333</v>
      </c>
      <c r="Q14" s="16">
        <f>((G14+K14+O14)*50%)</f>
        <v>142.20864444444447</v>
      </c>
      <c r="R14" s="16">
        <f t="shared" ref="R14" si="23">(F14+I14+L14+M14+P14)*1%</f>
        <v>38.032544444444447</v>
      </c>
      <c r="S14" s="16">
        <f>SUM(I14:R14)</f>
        <v>1214.2303211111112</v>
      </c>
      <c r="T14" s="15">
        <v>132</v>
      </c>
      <c r="U14" s="16">
        <f>T14*C14</f>
        <v>132</v>
      </c>
      <c r="V14" s="16">
        <f>SUM(U14+S14+H14+G14+F14)</f>
        <v>5328.7338011111115</v>
      </c>
      <c r="W14" s="18">
        <f>C14</f>
        <v>1</v>
      </c>
      <c r="X14" s="16">
        <v>504</v>
      </c>
      <c r="Y14" s="16">
        <f>X14*W14</f>
        <v>504</v>
      </c>
      <c r="Z14" s="14">
        <f>C14</f>
        <v>1</v>
      </c>
      <c r="AA14" s="19">
        <v>132</v>
      </c>
      <c r="AB14" s="15">
        <f t="shared" ref="AB14" si="24">AA14*Z14</f>
        <v>132</v>
      </c>
      <c r="AC14" s="14">
        <f t="shared" si="11"/>
        <v>1</v>
      </c>
      <c r="AD14" s="19">
        <v>313</v>
      </c>
      <c r="AE14" s="15">
        <f t="shared" ref="AE14" si="25">AD14*AC14</f>
        <v>313</v>
      </c>
      <c r="AF14" s="16">
        <f t="shared" ref="AF14" si="26">V14+AE14+Y14</f>
        <v>6145.7338011111115</v>
      </c>
    </row>
    <row r="15" spans="1:32" x14ac:dyDescent="0.3">
      <c r="A15" s="13" t="e">
        <f>VPTA!#REF!</f>
        <v>#REF!</v>
      </c>
      <c r="B15" s="14" t="e">
        <f>VLOOKUP(A15,VPTA!A:Q,2,FALSE)</f>
        <v>#REF!</v>
      </c>
      <c r="C15" s="14" t="e">
        <f>VLOOKUP(A15,VPTA!A:Q,3,FALSE)</f>
        <v>#REF!</v>
      </c>
      <c r="D15" s="15" t="e">
        <f>VLOOKUP(A15,VPTA!A:Q,4,FALSE)</f>
        <v>#REF!</v>
      </c>
      <c r="E15" s="15"/>
      <c r="F15" s="16" t="e">
        <f t="shared" ref="F15" si="27">SUM(D15:E15)*C15</f>
        <v>#REF!</v>
      </c>
      <c r="G15" s="16" t="e">
        <f t="shared" ref="G15" si="28">F15*8%</f>
        <v>#REF!</v>
      </c>
      <c r="H15" s="16" t="e">
        <f t="shared" ref="H15" si="29">(F15*5.8%)+(F15*20%)</f>
        <v>#REF!</v>
      </c>
      <c r="I15" s="16" t="e">
        <f t="shared" ref="I15" si="30">F15/12</f>
        <v>#REF!</v>
      </c>
      <c r="J15" s="16" t="e">
        <f t="shared" ref="J15" si="31">I15*27.8%</f>
        <v>#REF!</v>
      </c>
      <c r="K15" s="16" t="e">
        <f t="shared" ref="K15" si="32">I15*8%</f>
        <v>#REF!</v>
      </c>
      <c r="L15" s="16" t="e">
        <f t="shared" ref="L15" si="33">F15/12</f>
        <v>#REF!</v>
      </c>
      <c r="M15" s="16" t="e">
        <f t="shared" ref="M15:M20" si="34">L15/3</f>
        <v>#REF!</v>
      </c>
      <c r="N15" s="16" t="e">
        <f t="shared" ref="N15" si="35">(L15+M15)*27.8%</f>
        <v>#REF!</v>
      </c>
      <c r="O15" s="16" t="e">
        <f t="shared" ref="O15" si="36">(L15+M15)*8%</f>
        <v>#REF!</v>
      </c>
      <c r="P15" s="16" t="e">
        <f t="shared" ref="P15:P20" si="37">F15/12</f>
        <v>#REF!</v>
      </c>
      <c r="Q15" s="16" t="e">
        <f t="shared" ref="Q15:Q20" si="38">((G15+K15+O15)*50%)</f>
        <v>#REF!</v>
      </c>
      <c r="R15" s="16" t="e">
        <f t="shared" ref="R15" si="39">(F15+I15+L15+M15+P15)*1%</f>
        <v>#REF!</v>
      </c>
      <c r="S15" s="16" t="e">
        <f>SUM(I15:R15)</f>
        <v>#REF!</v>
      </c>
      <c r="T15" s="15">
        <v>132</v>
      </c>
      <c r="U15" s="16" t="e">
        <f>T15*C15</f>
        <v>#REF!</v>
      </c>
      <c r="V15" s="16" t="e">
        <f>SUM(U15+S15+H15+G15+F15)</f>
        <v>#REF!</v>
      </c>
      <c r="W15" s="18" t="e">
        <f>C15</f>
        <v>#REF!</v>
      </c>
      <c r="X15" s="16">
        <v>504</v>
      </c>
      <c r="Y15" s="16" t="e">
        <f>X15*W15</f>
        <v>#REF!</v>
      </c>
      <c r="Z15" s="14" t="e">
        <f t="shared" ref="Z15:Z20" si="40">C15</f>
        <v>#REF!</v>
      </c>
      <c r="AA15" s="19">
        <v>132</v>
      </c>
      <c r="AB15" s="15" t="e">
        <f t="shared" si="10"/>
        <v>#REF!</v>
      </c>
      <c r="AC15" s="14" t="e">
        <f t="shared" si="11"/>
        <v>#REF!</v>
      </c>
      <c r="AD15" s="19">
        <v>313</v>
      </c>
      <c r="AE15" s="15" t="e">
        <f t="shared" si="12"/>
        <v>#REF!</v>
      </c>
      <c r="AF15" s="16" t="e">
        <f t="shared" si="13"/>
        <v>#REF!</v>
      </c>
    </row>
    <row r="16" spans="1:32" x14ac:dyDescent="0.3">
      <c r="A16" s="13" t="e">
        <f>VPTA!#REF!</f>
        <v>#REF!</v>
      </c>
      <c r="B16" s="14" t="e">
        <f>VLOOKUP(A16,VPTA!A:Q,2,FALSE)</f>
        <v>#REF!</v>
      </c>
      <c r="C16" s="14" t="e">
        <f>VLOOKUP(A16,VPTA!A:Q,3,FALSE)</f>
        <v>#REF!</v>
      </c>
      <c r="D16" s="15" t="e">
        <f>VLOOKUP(A16,VPTA!A:Q,4,FALSE)</f>
        <v>#REF!</v>
      </c>
      <c r="E16" s="12"/>
      <c r="F16" s="16" t="e">
        <f t="shared" si="0"/>
        <v>#REF!</v>
      </c>
      <c r="G16" s="16" t="e">
        <f t="shared" ref="G16:G19" si="41">F16*8%</f>
        <v>#REF!</v>
      </c>
      <c r="H16" s="16" t="e">
        <f t="shared" si="2"/>
        <v>#REF!</v>
      </c>
      <c r="I16" s="16" t="e">
        <f t="shared" si="3"/>
        <v>#REF!</v>
      </c>
      <c r="J16" s="16" t="e">
        <f t="shared" ref="J16:J19" si="42">I16*27.8%</f>
        <v>#REF!</v>
      </c>
      <c r="K16" s="16" t="e">
        <f t="shared" si="5"/>
        <v>#REF!</v>
      </c>
      <c r="L16" s="16" t="e">
        <f t="shared" si="6"/>
        <v>#REF!</v>
      </c>
      <c r="M16" s="16" t="e">
        <f t="shared" si="34"/>
        <v>#REF!</v>
      </c>
      <c r="N16" s="16" t="e">
        <f t="shared" si="7"/>
        <v>#REF!</v>
      </c>
      <c r="O16" s="16" t="e">
        <f t="shared" si="8"/>
        <v>#REF!</v>
      </c>
      <c r="P16" s="16" t="e">
        <f t="shared" si="37"/>
        <v>#REF!</v>
      </c>
      <c r="Q16" s="16" t="e">
        <f t="shared" si="38"/>
        <v>#REF!</v>
      </c>
      <c r="R16" s="16" t="e">
        <f t="shared" si="9"/>
        <v>#REF!</v>
      </c>
      <c r="S16" s="16" t="e">
        <f t="shared" ref="S16:S19" si="43">SUM(I16:R16)</f>
        <v>#REF!</v>
      </c>
      <c r="T16" s="15">
        <v>132</v>
      </c>
      <c r="U16" s="16" t="e">
        <f t="shared" ref="U16:U19" si="44">T16*C16</f>
        <v>#REF!</v>
      </c>
      <c r="V16" s="16" t="e">
        <f t="shared" ref="V16:V19" si="45">SUM(U16+S16+H16+G16+F16)</f>
        <v>#REF!</v>
      </c>
      <c r="W16" s="18" t="e">
        <f t="shared" ref="W16:W19" si="46">C16</f>
        <v>#REF!</v>
      </c>
      <c r="X16" s="16">
        <v>504</v>
      </c>
      <c r="Y16" s="16" t="e">
        <f t="shared" ref="Y16:Y19" si="47">X16*W16</f>
        <v>#REF!</v>
      </c>
      <c r="Z16" s="14" t="e">
        <f t="shared" si="40"/>
        <v>#REF!</v>
      </c>
      <c r="AA16" s="19">
        <v>132</v>
      </c>
      <c r="AB16" s="15" t="e">
        <f t="shared" si="10"/>
        <v>#REF!</v>
      </c>
      <c r="AC16" s="14" t="e">
        <f t="shared" si="11"/>
        <v>#REF!</v>
      </c>
      <c r="AD16" s="19">
        <v>313</v>
      </c>
      <c r="AE16" s="15" t="e">
        <f t="shared" si="12"/>
        <v>#REF!</v>
      </c>
      <c r="AF16" s="16" t="e">
        <f t="shared" si="13"/>
        <v>#REF!</v>
      </c>
    </row>
    <row r="17" spans="1:32" x14ac:dyDescent="0.3">
      <c r="A17" s="13" t="e">
        <f>VPTA!#REF!</f>
        <v>#REF!</v>
      </c>
      <c r="B17" s="14" t="e">
        <f>VLOOKUP(A17,VPTA!A:Q,2,FALSE)</f>
        <v>#REF!</v>
      </c>
      <c r="C17" s="14" t="e">
        <f>VLOOKUP(A17,VPTA!A:Q,3,FALSE)</f>
        <v>#REF!</v>
      </c>
      <c r="D17" s="15" t="e">
        <f>VLOOKUP(A17,VPTA!A:Q,4,FALSE)</f>
        <v>#REF!</v>
      </c>
      <c r="E17" s="15"/>
      <c r="F17" s="16" t="e">
        <f t="shared" si="0"/>
        <v>#REF!</v>
      </c>
      <c r="G17" s="16" t="e">
        <f t="shared" si="41"/>
        <v>#REF!</v>
      </c>
      <c r="H17" s="16" t="e">
        <f t="shared" si="2"/>
        <v>#REF!</v>
      </c>
      <c r="I17" s="16" t="e">
        <f t="shared" si="3"/>
        <v>#REF!</v>
      </c>
      <c r="J17" s="16" t="e">
        <f t="shared" si="42"/>
        <v>#REF!</v>
      </c>
      <c r="K17" s="16" t="e">
        <f t="shared" si="5"/>
        <v>#REF!</v>
      </c>
      <c r="L17" s="16" t="e">
        <f t="shared" si="6"/>
        <v>#REF!</v>
      </c>
      <c r="M17" s="16" t="e">
        <f t="shared" si="34"/>
        <v>#REF!</v>
      </c>
      <c r="N17" s="16" t="e">
        <f t="shared" si="7"/>
        <v>#REF!</v>
      </c>
      <c r="O17" s="16" t="e">
        <f t="shared" si="8"/>
        <v>#REF!</v>
      </c>
      <c r="P17" s="16" t="e">
        <f t="shared" si="37"/>
        <v>#REF!</v>
      </c>
      <c r="Q17" s="16" t="e">
        <f t="shared" si="38"/>
        <v>#REF!</v>
      </c>
      <c r="R17" s="16" t="e">
        <f t="shared" si="9"/>
        <v>#REF!</v>
      </c>
      <c r="S17" s="16" t="e">
        <f t="shared" si="43"/>
        <v>#REF!</v>
      </c>
      <c r="T17" s="15">
        <v>132</v>
      </c>
      <c r="U17" s="16" t="e">
        <f t="shared" si="44"/>
        <v>#REF!</v>
      </c>
      <c r="V17" s="16" t="e">
        <f t="shared" si="45"/>
        <v>#REF!</v>
      </c>
      <c r="W17" s="18" t="e">
        <f t="shared" si="46"/>
        <v>#REF!</v>
      </c>
      <c r="X17" s="16">
        <v>504</v>
      </c>
      <c r="Y17" s="16" t="e">
        <f t="shared" si="47"/>
        <v>#REF!</v>
      </c>
      <c r="Z17" s="14" t="e">
        <f t="shared" si="40"/>
        <v>#REF!</v>
      </c>
      <c r="AA17" s="19">
        <v>132</v>
      </c>
      <c r="AB17" s="15" t="e">
        <f t="shared" si="10"/>
        <v>#REF!</v>
      </c>
      <c r="AC17" s="14" t="e">
        <f t="shared" si="11"/>
        <v>#REF!</v>
      </c>
      <c r="AD17" s="19">
        <v>313</v>
      </c>
      <c r="AE17" s="15" t="e">
        <f t="shared" ref="AE17:AE19" si="48">AD17*AC17</f>
        <v>#REF!</v>
      </c>
      <c r="AF17" s="16" t="e">
        <f t="shared" si="13"/>
        <v>#REF!</v>
      </c>
    </row>
    <row r="18" spans="1:32" x14ac:dyDescent="0.3">
      <c r="A18" s="13" t="e">
        <f>VPTA!#REF!</f>
        <v>#REF!</v>
      </c>
      <c r="B18" s="14" t="e">
        <f>VLOOKUP(A18,VPTA!A:Q,2,FALSE)</f>
        <v>#REF!</v>
      </c>
      <c r="C18" s="14" t="e">
        <f>VLOOKUP(A18,VPTA!A:Q,3,FALSE)</f>
        <v>#REF!</v>
      </c>
      <c r="D18" s="15" t="e">
        <f>VLOOKUP(A18,VPTA!A:Q,4,FALSE)</f>
        <v>#REF!</v>
      </c>
      <c r="E18" s="15"/>
      <c r="F18" s="16" t="e">
        <f t="shared" ref="F18" si="49">SUM(D18:E18)*C18</f>
        <v>#REF!</v>
      </c>
      <c r="G18" s="16" t="e">
        <f t="shared" ref="G18" si="50">F18*8%</f>
        <v>#REF!</v>
      </c>
      <c r="H18" s="16" t="e">
        <f t="shared" ref="H18" si="51">(F18*5.8%)+(F18*20%)</f>
        <v>#REF!</v>
      </c>
      <c r="I18" s="16" t="e">
        <f t="shared" ref="I18" si="52">F18/12</f>
        <v>#REF!</v>
      </c>
      <c r="J18" s="16" t="e">
        <f t="shared" ref="J18" si="53">I18*27.8%</f>
        <v>#REF!</v>
      </c>
      <c r="K18" s="16" t="e">
        <f t="shared" ref="K18" si="54">I18*8%</f>
        <v>#REF!</v>
      </c>
      <c r="L18" s="16" t="e">
        <f t="shared" ref="L18" si="55">F18/12</f>
        <v>#REF!</v>
      </c>
      <c r="M18" s="16" t="e">
        <f t="shared" ref="M18" si="56">L18/3</f>
        <v>#REF!</v>
      </c>
      <c r="N18" s="16" t="e">
        <f t="shared" ref="N18" si="57">(L18+M18)*27.8%</f>
        <v>#REF!</v>
      </c>
      <c r="O18" s="16" t="e">
        <f t="shared" ref="O18" si="58">(L18+M18)*8%</f>
        <v>#REF!</v>
      </c>
      <c r="P18" s="16" t="e">
        <f t="shared" ref="P18" si="59">F18/12</f>
        <v>#REF!</v>
      </c>
      <c r="Q18" s="16" t="e">
        <f t="shared" ref="Q18" si="60">((G18+K18+O18)*50%)</f>
        <v>#REF!</v>
      </c>
      <c r="R18" s="16" t="e">
        <f t="shared" ref="R18" si="61">(F18+I18+L18+M18+P18)*1%</f>
        <v>#REF!</v>
      </c>
      <c r="S18" s="16" t="e">
        <f t="shared" ref="S18" si="62">SUM(I18:R18)</f>
        <v>#REF!</v>
      </c>
      <c r="T18" s="15">
        <v>132</v>
      </c>
      <c r="U18" s="16" t="e">
        <f t="shared" ref="U18" si="63">T18*C18</f>
        <v>#REF!</v>
      </c>
      <c r="V18" s="16" t="e">
        <f t="shared" ref="V18" si="64">SUM(U18+S18+H18+G18+F18)</f>
        <v>#REF!</v>
      </c>
      <c r="W18" s="18" t="e">
        <f t="shared" ref="W18" si="65">C18</f>
        <v>#REF!</v>
      </c>
      <c r="X18" s="16">
        <v>504</v>
      </c>
      <c r="Y18" s="16" t="e">
        <f t="shared" ref="Y18" si="66">X18*W18</f>
        <v>#REF!</v>
      </c>
      <c r="Z18" s="14" t="e">
        <f t="shared" ref="Z18" si="67">C18</f>
        <v>#REF!</v>
      </c>
      <c r="AA18" s="19">
        <v>132</v>
      </c>
      <c r="AB18" s="15" t="e">
        <f t="shared" ref="AB18" si="68">AA18*Z18</f>
        <v>#REF!</v>
      </c>
      <c r="AC18" s="14" t="e">
        <f t="shared" si="11"/>
        <v>#REF!</v>
      </c>
      <c r="AD18" s="19">
        <v>313</v>
      </c>
      <c r="AE18" s="15" t="e">
        <f t="shared" ref="AE18" si="69">AD18*AC18</f>
        <v>#REF!</v>
      </c>
      <c r="AF18" s="16" t="e">
        <f t="shared" ref="AF18" si="70">V18+AE18+Y18</f>
        <v>#REF!</v>
      </c>
    </row>
    <row r="19" spans="1:32" x14ac:dyDescent="0.3">
      <c r="A19" s="13" t="e">
        <f>VPTA!#REF!</f>
        <v>#REF!</v>
      </c>
      <c r="B19" s="14" t="e">
        <f>VLOOKUP(A19,VPTA!A:Q,2,FALSE)</f>
        <v>#REF!</v>
      </c>
      <c r="C19" s="14" t="e">
        <f>VLOOKUP(A19,VPTA!A:Q,3,FALSE)</f>
        <v>#REF!</v>
      </c>
      <c r="D19" s="15" t="e">
        <f>VLOOKUP(A19,VPTA!A:Q,4,FALSE)</f>
        <v>#REF!</v>
      </c>
      <c r="E19" s="15"/>
      <c r="F19" s="16" t="e">
        <f t="shared" si="0"/>
        <v>#REF!</v>
      </c>
      <c r="G19" s="16" t="e">
        <f t="shared" si="41"/>
        <v>#REF!</v>
      </c>
      <c r="H19" s="16" t="e">
        <f t="shared" si="2"/>
        <v>#REF!</v>
      </c>
      <c r="I19" s="16" t="e">
        <f t="shared" si="3"/>
        <v>#REF!</v>
      </c>
      <c r="J19" s="16" t="e">
        <f t="shared" si="42"/>
        <v>#REF!</v>
      </c>
      <c r="K19" s="16" t="e">
        <f t="shared" si="5"/>
        <v>#REF!</v>
      </c>
      <c r="L19" s="16" t="e">
        <f t="shared" si="6"/>
        <v>#REF!</v>
      </c>
      <c r="M19" s="16" t="e">
        <f t="shared" si="34"/>
        <v>#REF!</v>
      </c>
      <c r="N19" s="16" t="e">
        <f t="shared" si="7"/>
        <v>#REF!</v>
      </c>
      <c r="O19" s="16" t="e">
        <f t="shared" si="8"/>
        <v>#REF!</v>
      </c>
      <c r="P19" s="16" t="e">
        <f t="shared" si="37"/>
        <v>#REF!</v>
      </c>
      <c r="Q19" s="16" t="e">
        <f t="shared" si="38"/>
        <v>#REF!</v>
      </c>
      <c r="R19" s="16" t="e">
        <f t="shared" si="9"/>
        <v>#REF!</v>
      </c>
      <c r="S19" s="16" t="e">
        <f t="shared" si="43"/>
        <v>#REF!</v>
      </c>
      <c r="T19" s="15">
        <v>132</v>
      </c>
      <c r="U19" s="16" t="e">
        <f t="shared" si="44"/>
        <v>#REF!</v>
      </c>
      <c r="V19" s="16" t="e">
        <f t="shared" si="45"/>
        <v>#REF!</v>
      </c>
      <c r="W19" s="18" t="e">
        <f t="shared" si="46"/>
        <v>#REF!</v>
      </c>
      <c r="X19" s="16">
        <v>504</v>
      </c>
      <c r="Y19" s="16" t="e">
        <f t="shared" si="47"/>
        <v>#REF!</v>
      </c>
      <c r="Z19" s="14" t="e">
        <f t="shared" si="40"/>
        <v>#REF!</v>
      </c>
      <c r="AA19" s="19">
        <v>132</v>
      </c>
      <c r="AB19" s="15" t="e">
        <f t="shared" si="10"/>
        <v>#REF!</v>
      </c>
      <c r="AC19" s="14" t="e">
        <f t="shared" si="11"/>
        <v>#REF!</v>
      </c>
      <c r="AD19" s="19">
        <v>313</v>
      </c>
      <c r="AE19" s="15" t="e">
        <f t="shared" si="48"/>
        <v>#REF!</v>
      </c>
      <c r="AF19" s="16" t="e">
        <f t="shared" si="13"/>
        <v>#REF!</v>
      </c>
    </row>
    <row r="20" spans="1:32" x14ac:dyDescent="0.3">
      <c r="A20" s="13" t="e">
        <f>VPTA!#REF!</f>
        <v>#REF!</v>
      </c>
      <c r="B20" s="14" t="e">
        <f>VLOOKUP(A20,VPTA!A:Q,2,FALSE)</f>
        <v>#REF!</v>
      </c>
      <c r="C20" s="14" t="e">
        <f>VLOOKUP(A20,VPTA!A:Q,3,FALSE)</f>
        <v>#REF!</v>
      </c>
      <c r="D20" s="15" t="e">
        <f>VLOOKUP(A20,VPTA!A:Q,4,FALSE)</f>
        <v>#REF!</v>
      </c>
      <c r="E20" s="15"/>
      <c r="F20" s="16" t="e">
        <f t="shared" ref="F20" si="71">SUM(D20:E20)*C20</f>
        <v>#REF!</v>
      </c>
      <c r="G20" s="16" t="e">
        <f t="shared" ref="G20" si="72">F20*8%</f>
        <v>#REF!</v>
      </c>
      <c r="H20" s="16" t="e">
        <f t="shared" ref="H20" si="73">(F20*5.8%)+(F20*20%)</f>
        <v>#REF!</v>
      </c>
      <c r="I20" s="16" t="e">
        <f t="shared" ref="I20" si="74">F20/12</f>
        <v>#REF!</v>
      </c>
      <c r="J20" s="16" t="e">
        <f t="shared" ref="J20" si="75">I20*27.8%</f>
        <v>#REF!</v>
      </c>
      <c r="K20" s="16" t="e">
        <f t="shared" ref="K20" si="76">I20*8%</f>
        <v>#REF!</v>
      </c>
      <c r="L20" s="16" t="e">
        <f t="shared" ref="L20" si="77">F20/12</f>
        <v>#REF!</v>
      </c>
      <c r="M20" s="16" t="e">
        <f t="shared" si="34"/>
        <v>#REF!</v>
      </c>
      <c r="N20" s="16" t="e">
        <f t="shared" ref="N20" si="78">(L20+M20)*27.8%</f>
        <v>#REF!</v>
      </c>
      <c r="O20" s="16" t="e">
        <f t="shared" ref="O20" si="79">(L20+M20)*8%</f>
        <v>#REF!</v>
      </c>
      <c r="P20" s="16" t="e">
        <f t="shared" si="37"/>
        <v>#REF!</v>
      </c>
      <c r="Q20" s="16" t="e">
        <f t="shared" si="38"/>
        <v>#REF!</v>
      </c>
      <c r="R20" s="16" t="e">
        <f t="shared" ref="R20" si="80">(F20+I20+L20+M20+P20)*1%</f>
        <v>#REF!</v>
      </c>
      <c r="S20" s="16" t="e">
        <f t="shared" ref="S20" si="81">SUM(I20:R20)</f>
        <v>#REF!</v>
      </c>
      <c r="T20" s="15">
        <v>132</v>
      </c>
      <c r="U20" s="16" t="e">
        <f t="shared" ref="U20" si="82">T20*C20</f>
        <v>#REF!</v>
      </c>
      <c r="V20" s="16" t="e">
        <f t="shared" ref="V20" si="83">SUM(U20+S20+H20+G20+F20)</f>
        <v>#REF!</v>
      </c>
      <c r="W20" s="18" t="e">
        <f t="shared" ref="W20" si="84">C20</f>
        <v>#REF!</v>
      </c>
      <c r="X20" s="16">
        <v>504</v>
      </c>
      <c r="Y20" s="16" t="e">
        <f t="shared" ref="Y20" si="85">X20*W20</f>
        <v>#REF!</v>
      </c>
      <c r="Z20" s="14" t="e">
        <f t="shared" si="40"/>
        <v>#REF!</v>
      </c>
      <c r="AA20" s="19">
        <v>132</v>
      </c>
      <c r="AB20" s="15" t="e">
        <f t="shared" si="10"/>
        <v>#REF!</v>
      </c>
      <c r="AC20" s="14" t="e">
        <f t="shared" ref="AC20" si="86">C20</f>
        <v>#REF!</v>
      </c>
      <c r="AD20" s="19">
        <v>313</v>
      </c>
      <c r="AE20" s="15" t="e">
        <f t="shared" ref="AE20" si="87">AD20*AC20</f>
        <v>#REF!</v>
      </c>
      <c r="AF20" s="16" t="e">
        <f t="shared" si="13"/>
        <v>#REF!</v>
      </c>
    </row>
    <row r="22" spans="1:32" x14ac:dyDescent="0.3">
      <c r="A22" s="29" t="s">
        <v>48</v>
      </c>
      <c r="B22" s="29"/>
      <c r="C22" s="30" t="e">
        <f t="shared" ref="C22:S22" si="88">SUM(C13:C20)</f>
        <v>#REF!</v>
      </c>
      <c r="D22" s="31" t="e">
        <f t="shared" si="88"/>
        <v>#REF!</v>
      </c>
      <c r="E22" s="31">
        <f t="shared" si="88"/>
        <v>0</v>
      </c>
      <c r="F22" s="31" t="e">
        <f t="shared" si="88"/>
        <v>#REF!</v>
      </c>
      <c r="G22" s="31" t="e">
        <f t="shared" si="88"/>
        <v>#REF!</v>
      </c>
      <c r="H22" s="31" t="e">
        <f t="shared" si="88"/>
        <v>#REF!</v>
      </c>
      <c r="I22" s="31" t="e">
        <f t="shared" si="88"/>
        <v>#REF!</v>
      </c>
      <c r="J22" s="31" t="e">
        <f t="shared" si="88"/>
        <v>#REF!</v>
      </c>
      <c r="K22" s="31" t="e">
        <f t="shared" si="88"/>
        <v>#REF!</v>
      </c>
      <c r="L22" s="31" t="e">
        <f t="shared" si="88"/>
        <v>#REF!</v>
      </c>
      <c r="M22" s="31" t="e">
        <f t="shared" si="88"/>
        <v>#REF!</v>
      </c>
      <c r="N22" s="31" t="e">
        <f t="shared" si="88"/>
        <v>#REF!</v>
      </c>
      <c r="O22" s="31" t="e">
        <f t="shared" si="88"/>
        <v>#REF!</v>
      </c>
      <c r="P22" s="31" t="e">
        <f t="shared" si="88"/>
        <v>#REF!</v>
      </c>
      <c r="Q22" s="31" t="e">
        <f t="shared" si="88"/>
        <v>#REF!</v>
      </c>
      <c r="R22" s="31" t="e">
        <f t="shared" si="88"/>
        <v>#REF!</v>
      </c>
      <c r="S22" s="31" t="e">
        <f t="shared" si="88"/>
        <v>#REF!</v>
      </c>
      <c r="T22" s="29"/>
      <c r="U22" s="31" t="e">
        <f>SUM(U13:U20)</f>
        <v>#REF!</v>
      </c>
      <c r="V22" s="31"/>
      <c r="W22" s="29"/>
      <c r="X22" s="29"/>
      <c r="Y22" s="31" t="e">
        <f>SUM(Y13:Y20)</f>
        <v>#REF!</v>
      </c>
      <c r="Z22" s="31"/>
      <c r="AA22" s="31"/>
      <c r="AB22" s="31" t="e">
        <f>SUM(AB13:AB21)</f>
        <v>#REF!</v>
      </c>
      <c r="AC22" s="29"/>
      <c r="AD22" s="29"/>
      <c r="AE22" s="31" t="e">
        <f>SUM(AE13:AE20)</f>
        <v>#REF!</v>
      </c>
      <c r="AF22" s="31" t="e">
        <f>SUM(AF13:AF20)</f>
        <v>#REF!</v>
      </c>
    </row>
    <row r="23" spans="1:32" hidden="1" x14ac:dyDescent="0.3">
      <c r="E23" t="s">
        <v>49</v>
      </c>
      <c r="F23" t="s">
        <v>50</v>
      </c>
      <c r="G23" t="s">
        <v>51</v>
      </c>
      <c r="H23" t="s">
        <v>51</v>
      </c>
      <c r="I23" t="s">
        <v>49</v>
      </c>
      <c r="J23" t="s">
        <v>51</v>
      </c>
      <c r="K23" t="s">
        <v>51</v>
      </c>
      <c r="L23" t="s">
        <v>49</v>
      </c>
      <c r="M23" t="s">
        <v>49</v>
      </c>
      <c r="N23" t="s">
        <v>51</v>
      </c>
      <c r="O23" t="s">
        <v>51</v>
      </c>
      <c r="P23" t="s">
        <v>49</v>
      </c>
      <c r="Q23" t="s">
        <v>51</v>
      </c>
      <c r="R23" t="s">
        <v>51</v>
      </c>
      <c r="U23" t="s">
        <v>52</v>
      </c>
      <c r="Y23" t="s">
        <v>52</v>
      </c>
      <c r="AE23" t="s">
        <v>52</v>
      </c>
      <c r="AF23" s="10" t="e">
        <f>AE22+U22+S22+H22+G22+F22+Y22</f>
        <v>#REF!</v>
      </c>
    </row>
    <row r="24" spans="1:32" ht="1.5" customHeight="1" x14ac:dyDescent="0.3">
      <c r="E24" s="10"/>
      <c r="AE24" t="s">
        <v>51</v>
      </c>
      <c r="AF24" s="10" t="e">
        <f>R22+Q22+O22+N22+K22+J22+H22+G22</f>
        <v>#REF!</v>
      </c>
    </row>
    <row r="25" spans="1:32" ht="2.25" customHeight="1" x14ac:dyDescent="0.3">
      <c r="E25" s="10"/>
      <c r="AE25" t="s">
        <v>49</v>
      </c>
      <c r="AF25" s="10" t="e">
        <f>P22+M22+L22+I22+AE22</f>
        <v>#REF!</v>
      </c>
    </row>
    <row r="26" spans="1:32" x14ac:dyDescent="0.3">
      <c r="E26" s="10"/>
    </row>
    <row r="27" spans="1:32" x14ac:dyDescent="0.3">
      <c r="E27" s="10"/>
    </row>
    <row r="28" spans="1:32" x14ac:dyDescent="0.3">
      <c r="E28" s="10"/>
    </row>
    <row r="29" spans="1:32" x14ac:dyDescent="0.3">
      <c r="E29" s="10"/>
    </row>
    <row r="30" spans="1:32" x14ac:dyDescent="0.3">
      <c r="E30" s="10"/>
    </row>
    <row r="31" spans="1:32" x14ac:dyDescent="0.3">
      <c r="E31" s="10"/>
    </row>
    <row r="32" spans="1:32" x14ac:dyDescent="0.3">
      <c r="E32" s="10"/>
    </row>
    <row r="33" spans="5:5" x14ac:dyDescent="0.3">
      <c r="E33" s="10"/>
    </row>
  </sheetData>
  <mergeCells count="18">
    <mergeCell ref="AF11:AF12"/>
    <mergeCell ref="AC11:AE11"/>
    <mergeCell ref="A11:A12"/>
    <mergeCell ref="B11:B12"/>
    <mergeCell ref="C11:C12"/>
    <mergeCell ref="D11:D12"/>
    <mergeCell ref="T11:U11"/>
    <mergeCell ref="G11:Q11"/>
    <mergeCell ref="W11:Y11"/>
    <mergeCell ref="S11:S12"/>
    <mergeCell ref="E11:E12"/>
    <mergeCell ref="F11:F12"/>
    <mergeCell ref="Z11:AB11"/>
    <mergeCell ref="A10:AF10"/>
    <mergeCell ref="A2:AF2"/>
    <mergeCell ref="A5:AF5"/>
    <mergeCell ref="A3:AF3"/>
    <mergeCell ref="A4:AF4"/>
  </mergeCells>
  <phoneticPr fontId="5" type="noConversion"/>
  <pageMargins left="0.39370078740157483" right="0.39370078740157483" top="0.39370078740157483" bottom="0.39370078740157483" header="0.39370078740157483" footer="0.39370078740157483"/>
  <pageSetup paperSize="9" scale="60" orientation="landscape"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I38"/>
  <sheetViews>
    <sheetView topLeftCell="A17" zoomScale="120" zoomScaleNormal="120" workbookViewId="0">
      <selection activeCell="H37" sqref="H37"/>
    </sheetView>
  </sheetViews>
  <sheetFormatPr defaultColWidth="8.88671875" defaultRowHeight="14.4" x14ac:dyDescent="0.3"/>
  <cols>
    <col min="1" max="1" width="2.6640625" customWidth="1"/>
    <col min="2" max="2" width="6.88671875" bestFit="1" customWidth="1"/>
    <col min="3" max="3" width="46.109375" customWidth="1"/>
    <col min="4" max="4" width="9.77734375" bestFit="1" customWidth="1"/>
    <col min="5" max="5" width="4.88671875" bestFit="1" customWidth="1"/>
    <col min="6" max="6" width="12.5546875" customWidth="1"/>
    <col min="7" max="7" width="16.109375" customWidth="1"/>
    <col min="8" max="8" width="14.21875" bestFit="1" customWidth="1"/>
    <col min="9" max="9" width="7.6640625" bestFit="1" customWidth="1"/>
  </cols>
  <sheetData>
    <row r="2" spans="2:9" ht="18" x14ac:dyDescent="0.35">
      <c r="B2" s="134"/>
      <c r="C2" s="134"/>
      <c r="D2" s="134"/>
      <c r="E2" s="134"/>
      <c r="F2" s="134"/>
      <c r="G2" s="134"/>
    </row>
    <row r="3" spans="2:9" ht="18" x14ac:dyDescent="0.35">
      <c r="B3" s="134"/>
      <c r="C3" s="134"/>
      <c r="D3" s="134"/>
      <c r="E3" s="134"/>
      <c r="F3" s="134"/>
      <c r="G3" s="134"/>
    </row>
    <row r="4" spans="2:9" ht="8.1" customHeight="1" x14ac:dyDescent="0.3">
      <c r="B4" s="11"/>
      <c r="C4" s="11"/>
      <c r="D4" s="11"/>
      <c r="E4" s="11"/>
      <c r="F4" s="11"/>
      <c r="G4" s="11"/>
    </row>
    <row r="5" spans="2:9" ht="15.6" x14ac:dyDescent="0.3">
      <c r="B5" s="136"/>
      <c r="C5" s="136"/>
      <c r="D5" s="136"/>
      <c r="E5" s="136"/>
      <c r="F5" s="136"/>
      <c r="G5" s="136"/>
    </row>
    <row r="6" spans="2:9" ht="6" customHeight="1" x14ac:dyDescent="0.3"/>
    <row r="7" spans="2:9" x14ac:dyDescent="0.3">
      <c r="B7" s="135"/>
      <c r="C7" s="135"/>
      <c r="D7" s="135"/>
      <c r="E7" s="135"/>
      <c r="F7" s="135"/>
      <c r="G7" s="135"/>
    </row>
    <row r="8" spans="2:9" ht="15.6" x14ac:dyDescent="0.3">
      <c r="B8" s="22" t="s">
        <v>135</v>
      </c>
      <c r="C8" s="69"/>
      <c r="D8" s="69"/>
      <c r="E8" s="69"/>
      <c r="F8" s="69"/>
      <c r="G8" s="69"/>
    </row>
    <row r="9" spans="2:9" x14ac:dyDescent="0.3">
      <c r="B9" t="s">
        <v>124</v>
      </c>
      <c r="C9" s="69"/>
      <c r="D9" s="90">
        <v>18</v>
      </c>
      <c r="E9" s="69"/>
      <c r="F9" s="69"/>
      <c r="G9" s="69"/>
    </row>
    <row r="10" spans="2:9" x14ac:dyDescent="0.3">
      <c r="B10" t="s">
        <v>125</v>
      </c>
      <c r="D10" s="90">
        <v>50</v>
      </c>
    </row>
    <row r="11" spans="2:9" x14ac:dyDescent="0.3">
      <c r="B11" t="s">
        <v>136</v>
      </c>
      <c r="D11" s="90">
        <v>50</v>
      </c>
    </row>
    <row r="12" spans="2:9" x14ac:dyDescent="0.3">
      <c r="B12" t="s">
        <v>137</v>
      </c>
      <c r="D12" s="90">
        <v>60</v>
      </c>
    </row>
    <row r="13" spans="2:9" ht="15" thickBot="1" x14ac:dyDescent="0.35">
      <c r="D13" s="91">
        <f>SUM(D9:D12)</f>
        <v>178</v>
      </c>
    </row>
    <row r="14" spans="2:9" x14ac:dyDescent="0.3">
      <c r="B14" s="131" t="s">
        <v>53</v>
      </c>
      <c r="C14" s="132"/>
      <c r="D14" s="132"/>
      <c r="E14" s="132"/>
      <c r="F14" s="132"/>
      <c r="G14" s="132"/>
      <c r="H14" s="133"/>
    </row>
    <row r="15" spans="2:9" ht="15" thickBot="1" x14ac:dyDescent="0.35">
      <c r="B15" s="138" t="s">
        <v>54</v>
      </c>
      <c r="C15" s="138"/>
      <c r="D15" s="83"/>
      <c r="E15" s="83"/>
      <c r="F15" s="83"/>
      <c r="G15" s="32" t="s">
        <v>55</v>
      </c>
      <c r="H15" s="33" t="s">
        <v>56</v>
      </c>
    </row>
    <row r="16" spans="2:9" x14ac:dyDescent="0.3">
      <c r="B16" s="139" t="s">
        <v>57</v>
      </c>
      <c r="C16" s="139"/>
      <c r="D16" s="84"/>
      <c r="E16" s="84"/>
      <c r="F16" s="84"/>
      <c r="G16" s="34">
        <f>SUM(G17:G20)</f>
        <v>97262.170375555565</v>
      </c>
      <c r="H16" s="35">
        <f>SUM(H17:H20)</f>
        <v>97262.170375555565</v>
      </c>
      <c r="I16" s="54">
        <f>H16/H36</f>
        <v>0.97487366191457836</v>
      </c>
    </row>
    <row r="17" spans="2:9" x14ac:dyDescent="0.3">
      <c r="B17" s="3" t="s">
        <v>58</v>
      </c>
      <c r="C17" s="4" t="s">
        <v>59</v>
      </c>
      <c r="D17" s="4"/>
      <c r="E17" s="4"/>
      <c r="F17" s="4"/>
      <c r="G17" s="17">
        <f>VPTA!D23</f>
        <v>48864.17</v>
      </c>
      <c r="H17" s="20">
        <f t="shared" ref="H17:H22" si="0">G17</f>
        <v>48864.17</v>
      </c>
    </row>
    <row r="18" spans="2:9" x14ac:dyDescent="0.3">
      <c r="B18" s="3" t="s">
        <v>60</v>
      </c>
      <c r="C18" s="4" t="s">
        <v>61</v>
      </c>
      <c r="D18" s="4"/>
      <c r="E18" s="4"/>
      <c r="F18" s="4"/>
      <c r="G18" s="17">
        <f>VPTA!M34+VPTA!N34+VPTA!L34</f>
        <v>15718.72935</v>
      </c>
      <c r="H18" s="20">
        <f t="shared" si="0"/>
        <v>15718.72935</v>
      </c>
    </row>
    <row r="19" spans="2:9" x14ac:dyDescent="0.3">
      <c r="B19" s="3" t="s">
        <v>62</v>
      </c>
      <c r="C19" s="4" t="s">
        <v>63</v>
      </c>
      <c r="D19" s="4"/>
      <c r="E19" s="4"/>
      <c r="F19" s="4"/>
      <c r="G19" s="17">
        <f>VPTA!G23+VPTA!H23+VPTA!I23+VPTA!J23+VPTA!K23+VPTA!L23+VPTA!M23+VPTA!N23+VPTA!O23+VPTA!O34</f>
        <v>27043.603418888892</v>
      </c>
      <c r="H19" s="20">
        <f t="shared" si="0"/>
        <v>27043.603418888892</v>
      </c>
      <c r="I19" s="60"/>
    </row>
    <row r="20" spans="2:9" x14ac:dyDescent="0.3">
      <c r="B20" s="3" t="s">
        <v>64</v>
      </c>
      <c r="C20" s="4" t="s">
        <v>65</v>
      </c>
      <c r="D20" s="4"/>
      <c r="E20" s="4"/>
      <c r="F20" s="4"/>
      <c r="G20" s="17">
        <f>VPTA!P23+VPTA!I34+VPTA!J34+VPTA!K34</f>
        <v>5635.6676066666669</v>
      </c>
      <c r="H20" s="20">
        <f t="shared" si="0"/>
        <v>5635.6676066666669</v>
      </c>
      <c r="I20" s="60"/>
    </row>
    <row r="21" spans="2:9" x14ac:dyDescent="0.3">
      <c r="B21" s="140" t="s">
        <v>66</v>
      </c>
      <c r="C21" s="140"/>
      <c r="D21" s="85" t="s">
        <v>122</v>
      </c>
      <c r="E21" s="85" t="s">
        <v>4</v>
      </c>
      <c r="F21" s="85" t="s">
        <v>123</v>
      </c>
      <c r="G21" s="36">
        <f>SUM(G22:G25)</f>
        <v>7000</v>
      </c>
      <c r="H21" s="36">
        <f>SUM(H22:H25)</f>
        <v>7000</v>
      </c>
    </row>
    <row r="22" spans="2:9" x14ac:dyDescent="0.3">
      <c r="B22" s="3" t="str">
        <f>'Plano Analitico'!B31</f>
        <v>2.1.</v>
      </c>
      <c r="C22" s="4" t="str">
        <f>'Plano Analitico'!C31</f>
        <v>Material Expediente</v>
      </c>
      <c r="D22" s="4"/>
      <c r="E22" s="4"/>
      <c r="F22" s="4"/>
      <c r="G22" s="17">
        <f>'Plano Analitico'!D31</f>
        <v>1000</v>
      </c>
      <c r="H22" s="20">
        <f t="shared" si="0"/>
        <v>1000</v>
      </c>
    </row>
    <row r="23" spans="2:9" x14ac:dyDescent="0.3">
      <c r="B23" s="3" t="str">
        <f>'Plano Analitico'!B32</f>
        <v>2.2.</v>
      </c>
      <c r="C23" s="4" t="str">
        <f>'Plano Analitico'!C32</f>
        <v>Material Pedagógico</v>
      </c>
      <c r="D23" s="4"/>
      <c r="E23" s="4"/>
      <c r="F23" s="4"/>
      <c r="G23" s="17">
        <f>'Plano Analitico'!D32</f>
        <v>1000</v>
      </c>
      <c r="H23" s="20">
        <f t="shared" ref="H23:H25" si="1">G23</f>
        <v>1000</v>
      </c>
    </row>
    <row r="24" spans="2:9" x14ac:dyDescent="0.3">
      <c r="B24" s="3" t="str">
        <f>'Plano Analitico'!B33</f>
        <v>2.3.</v>
      </c>
      <c r="C24" s="4" t="str">
        <f>'Plano Analitico'!C33</f>
        <v>Materiais para pequenos reparos/manutenção</v>
      </c>
      <c r="D24" s="4"/>
      <c r="E24" s="4"/>
      <c r="F24" s="4"/>
      <c r="G24" s="17">
        <f>'Plano Analitico'!D33</f>
        <v>2000</v>
      </c>
      <c r="H24" s="20">
        <f t="shared" si="1"/>
        <v>2000</v>
      </c>
    </row>
    <row r="25" spans="2:9" x14ac:dyDescent="0.3">
      <c r="B25" s="3" t="str">
        <f>'Plano Analitico'!B34</f>
        <v>2.4.</v>
      </c>
      <c r="C25" s="4" t="str">
        <f>'Plano Analitico'!C34</f>
        <v>Materiais de limpeza e higiene</v>
      </c>
      <c r="D25" s="4"/>
      <c r="E25" s="4"/>
      <c r="F25" s="4"/>
      <c r="G25" s="17">
        <f>'Plano Analitico'!D34</f>
        <v>3000</v>
      </c>
      <c r="H25" s="20">
        <f t="shared" si="1"/>
        <v>3000</v>
      </c>
    </row>
    <row r="26" spans="2:9" ht="15" thickBot="1" x14ac:dyDescent="0.35">
      <c r="B26" s="141" t="s">
        <v>67</v>
      </c>
      <c r="C26" s="142"/>
      <c r="D26" s="88"/>
      <c r="E26" s="88"/>
      <c r="F26" s="88"/>
      <c r="G26" s="72">
        <f>SUM(G27:G31)</f>
        <v>14000</v>
      </c>
      <c r="H26" s="72">
        <f>SUM(H27:H31)</f>
        <v>14000</v>
      </c>
    </row>
    <row r="27" spans="2:9" ht="15" thickTop="1" x14ac:dyDescent="0.3">
      <c r="B27" s="62" t="str">
        <f>'Plano Analitico'!B36</f>
        <v>3.1.</v>
      </c>
      <c r="C27" s="63" t="str">
        <f>'Plano Analitico'!C36</f>
        <v>Serviços Contábeis</v>
      </c>
      <c r="D27" s="63"/>
      <c r="E27" s="63"/>
      <c r="F27" s="63"/>
      <c r="G27" s="64">
        <f>'Plano Analitico'!J36</f>
        <v>3500</v>
      </c>
      <c r="H27" s="65">
        <f>G27</f>
        <v>3500</v>
      </c>
    </row>
    <row r="28" spans="2:9" x14ac:dyDescent="0.3">
      <c r="B28" s="62" t="str">
        <f>'Plano Analitico'!B37</f>
        <v>3.2.</v>
      </c>
      <c r="C28" s="63" t="str">
        <f>'Plano Analitico'!C37</f>
        <v>Serviços de Manutenção de Equipamentos</v>
      </c>
      <c r="D28" s="63"/>
      <c r="E28" s="63"/>
      <c r="F28" s="63"/>
      <c r="G28" s="64">
        <f>'Plano Analitico'!J37</f>
        <v>3000</v>
      </c>
      <c r="H28" s="20">
        <f>G28</f>
        <v>3000</v>
      </c>
    </row>
    <row r="29" spans="2:9" x14ac:dyDescent="0.3">
      <c r="B29" s="62" t="str">
        <f>'Plano Analitico'!B38</f>
        <v>3.3.</v>
      </c>
      <c r="C29" s="63" t="str">
        <f>'Plano Analitico'!C38</f>
        <v>Serviços de Locação de Equipamentos</v>
      </c>
      <c r="D29" s="63"/>
      <c r="E29" s="63"/>
      <c r="F29" s="63"/>
      <c r="G29" s="64">
        <f>'Plano Analitico'!J38</f>
        <v>3500</v>
      </c>
      <c r="H29" s="20">
        <f t="shared" ref="H29:H31" si="2">G29</f>
        <v>3500</v>
      </c>
    </row>
    <row r="30" spans="2:9" x14ac:dyDescent="0.3">
      <c r="B30" s="62" t="str">
        <f>'Plano Analitico'!B39</f>
        <v>3.4.</v>
      </c>
      <c r="C30" s="63" t="str">
        <f>'Plano Analitico'!C39</f>
        <v>Serviços de Manutenção e Pequenos Reparos Predial</v>
      </c>
      <c r="D30" s="63"/>
      <c r="E30" s="63"/>
      <c r="F30" s="63"/>
      <c r="G30" s="64">
        <f>'Plano Analitico'!J39</f>
        <v>3000</v>
      </c>
      <c r="H30" s="20">
        <f t="shared" si="2"/>
        <v>3000</v>
      </c>
    </row>
    <row r="31" spans="2:9" x14ac:dyDescent="0.3">
      <c r="B31" s="62" t="str">
        <f>'Plano Analitico'!B40</f>
        <v>3.5.</v>
      </c>
      <c r="C31" s="63" t="str">
        <f>'Plano Analitico'!C40</f>
        <v>Despesas Fixas (Utilidades)</v>
      </c>
      <c r="D31" s="63"/>
      <c r="E31" s="63"/>
      <c r="F31" s="63"/>
      <c r="G31" s="64">
        <f>'Plano Analitico'!J40</f>
        <v>1000</v>
      </c>
      <c r="H31" s="20">
        <f t="shared" si="2"/>
        <v>1000</v>
      </c>
    </row>
    <row r="32" spans="2:9" ht="15" thickBot="1" x14ac:dyDescent="0.35">
      <c r="B32" s="141" t="s">
        <v>68</v>
      </c>
      <c r="C32" s="141"/>
      <c r="D32" s="86"/>
      <c r="E32" s="86"/>
      <c r="F32" s="86"/>
      <c r="G32" s="72">
        <f>G33</f>
        <v>2471.36</v>
      </c>
      <c r="H32" s="73">
        <f>G32</f>
        <v>2471.36</v>
      </c>
    </row>
    <row r="33" spans="2:9" ht="15" thickTop="1" x14ac:dyDescent="0.3">
      <c r="B33" s="3"/>
      <c r="C33" s="4" t="s">
        <v>116</v>
      </c>
      <c r="D33" s="63"/>
      <c r="E33" s="63"/>
      <c r="F33" s="63"/>
      <c r="G33" s="64">
        <f>'Plano Analitico'!E42</f>
        <v>2471.36</v>
      </c>
      <c r="H33" s="65">
        <f>G33</f>
        <v>2471.36</v>
      </c>
    </row>
    <row r="34" spans="2:9" ht="15" thickBot="1" x14ac:dyDescent="0.35">
      <c r="B34" s="137" t="s">
        <v>48</v>
      </c>
      <c r="C34" s="137"/>
      <c r="D34" s="87"/>
      <c r="E34" s="87"/>
      <c r="F34" s="87"/>
      <c r="G34" s="37">
        <f>SUM(G16,G21,G26,G32)</f>
        <v>120733.53037555557</v>
      </c>
      <c r="H34" s="38">
        <f>G34</f>
        <v>120733.53037555557</v>
      </c>
      <c r="I34" s="53">
        <f>G34/H36</f>
        <v>1.2101307056856896</v>
      </c>
    </row>
    <row r="35" spans="2:9" ht="15" thickBot="1" x14ac:dyDescent="0.35"/>
    <row r="36" spans="2:9" ht="15" thickBot="1" x14ac:dyDescent="0.35">
      <c r="G36" s="56" t="s">
        <v>48</v>
      </c>
      <c r="H36" s="57">
        <f>VPTA!I3</f>
        <v>99769</v>
      </c>
    </row>
    <row r="37" spans="2:9" x14ac:dyDescent="0.3">
      <c r="G37" s="10"/>
    </row>
    <row r="38" spans="2:9" x14ac:dyDescent="0.3">
      <c r="G38" s="10"/>
      <c r="H38" s="71">
        <f>H36-H34</f>
        <v>-20964.530375555565</v>
      </c>
    </row>
  </sheetData>
  <mergeCells count="11">
    <mergeCell ref="B34:C34"/>
    <mergeCell ref="B15:C15"/>
    <mergeCell ref="B16:C16"/>
    <mergeCell ref="B21:C21"/>
    <mergeCell ref="B26:C26"/>
    <mergeCell ref="B32:C32"/>
    <mergeCell ref="B14:H14"/>
    <mergeCell ref="B2:G2"/>
    <mergeCell ref="B3:G3"/>
    <mergeCell ref="B7:G7"/>
    <mergeCell ref="B5:G5"/>
  </mergeCells>
  <phoneticPr fontId="5" type="noConversion"/>
  <pageMargins left="0.39370078740157483" right="0.39370078740157483" top="0.39370078740157483" bottom="0.39370078740157483" header="0.39370078740157483" footer="0.39370078740157483"/>
  <pageSetup paperSize="9" scale="78" orientation="portrait" horizontalDpi="1200" verticalDpi="1200" r:id="rId1"/>
  <headerFooter>
    <oddHeader>&amp;R&amp;"-,Negrito itálico"&amp;D</oddHeader>
    <oddFooter>&amp;R&amp;"-,Negrito itálico"Edson Oliveira - Controladoria IGEVE</oddFoot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Q66"/>
  <sheetViews>
    <sheetView topLeftCell="A39" workbookViewId="0">
      <pane xSplit="3" topLeftCell="D1" activePane="topRight" state="frozen"/>
      <selection activeCell="C20" sqref="C20"/>
      <selection pane="topRight" activeCell="D18" sqref="D18"/>
    </sheetView>
  </sheetViews>
  <sheetFormatPr defaultColWidth="8.88671875" defaultRowHeight="14.4" x14ac:dyDescent="0.3"/>
  <cols>
    <col min="1" max="1" width="2.6640625" customWidth="1"/>
    <col min="2" max="2" width="7.44140625" customWidth="1"/>
    <col min="3" max="3" width="62.109375" customWidth="1"/>
    <col min="4" max="15" width="13.33203125" bestFit="1" customWidth="1"/>
    <col min="16" max="16" width="14.21875" style="43" bestFit="1" customWidth="1"/>
    <col min="17" max="17" width="5.6640625" style="51" bestFit="1" customWidth="1"/>
  </cols>
  <sheetData>
    <row r="2" spans="2:16" ht="18" x14ac:dyDescent="0.35">
      <c r="B2" s="134"/>
      <c r="C2" s="134"/>
    </row>
    <row r="3" spans="2:16" ht="18" x14ac:dyDescent="0.35">
      <c r="B3" s="134"/>
      <c r="C3" s="134"/>
    </row>
    <row r="4" spans="2:16" ht="8.1" customHeight="1" x14ac:dyDescent="0.3">
      <c r="B4" s="11"/>
      <c r="C4" s="11"/>
    </row>
    <row r="5" spans="2:16" ht="15.6" x14ac:dyDescent="0.3">
      <c r="B5" s="136"/>
      <c r="C5" s="136"/>
    </row>
    <row r="6" spans="2:16" ht="6" customHeight="1" x14ac:dyDescent="0.3"/>
    <row r="7" spans="2:16" x14ac:dyDescent="0.3">
      <c r="B7" s="135"/>
      <c r="C7" s="135"/>
    </row>
    <row r="8" spans="2:16" ht="15.6" x14ac:dyDescent="0.3">
      <c r="B8" s="22" t="s">
        <v>135</v>
      </c>
      <c r="C8" s="69"/>
    </row>
    <row r="9" spans="2:16" x14ac:dyDescent="0.3">
      <c r="B9" t="s">
        <v>124</v>
      </c>
      <c r="C9" s="69"/>
      <c r="D9" s="90">
        <v>18</v>
      </c>
    </row>
    <row r="10" spans="2:16" x14ac:dyDescent="0.3">
      <c r="B10" t="s">
        <v>125</v>
      </c>
      <c r="C10" s="69"/>
      <c r="D10" s="90">
        <v>50</v>
      </c>
    </row>
    <row r="11" spans="2:16" x14ac:dyDescent="0.3">
      <c r="B11" t="s">
        <v>136</v>
      </c>
      <c r="C11" s="69"/>
      <c r="D11" s="90">
        <v>50</v>
      </c>
    </row>
    <row r="12" spans="2:16" x14ac:dyDescent="0.3">
      <c r="B12" t="s">
        <v>137</v>
      </c>
      <c r="C12" s="69"/>
      <c r="D12" s="90">
        <v>60</v>
      </c>
    </row>
    <row r="13" spans="2:16" x14ac:dyDescent="0.3">
      <c r="D13" s="91">
        <f>SUM(D9:D12)</f>
        <v>178</v>
      </c>
      <c r="P13" s="1"/>
    </row>
    <row r="14" spans="2:16" x14ac:dyDescent="0.3">
      <c r="B14" s="166" t="s">
        <v>53</v>
      </c>
      <c r="C14" s="167"/>
      <c r="D14" s="167"/>
      <c r="E14" s="167"/>
      <c r="F14" s="167"/>
      <c r="G14" s="167"/>
      <c r="H14" s="167"/>
      <c r="I14" s="167"/>
      <c r="J14" s="167"/>
      <c r="K14" s="167"/>
      <c r="L14" s="167"/>
      <c r="M14" s="167"/>
      <c r="N14" s="167"/>
      <c r="O14" s="167"/>
      <c r="P14" s="167"/>
    </row>
    <row r="15" spans="2:16" ht="15" thickBot="1" x14ac:dyDescent="0.35">
      <c r="B15" s="173" t="s">
        <v>54</v>
      </c>
      <c r="C15" s="174"/>
      <c r="D15" s="68" t="s">
        <v>69</v>
      </c>
      <c r="E15" s="68" t="s">
        <v>70</v>
      </c>
      <c r="F15" s="68" t="s">
        <v>71</v>
      </c>
      <c r="G15" s="68" t="s">
        <v>72</v>
      </c>
      <c r="H15" s="68" t="s">
        <v>73</v>
      </c>
      <c r="I15" s="68" t="s">
        <v>74</v>
      </c>
      <c r="J15" s="68" t="s">
        <v>75</v>
      </c>
      <c r="K15" s="68" t="s">
        <v>76</v>
      </c>
      <c r="L15" s="68" t="s">
        <v>77</v>
      </c>
      <c r="M15" s="68" t="s">
        <v>78</v>
      </c>
      <c r="N15" s="68" t="s">
        <v>79</v>
      </c>
      <c r="O15" s="68" t="s">
        <v>80</v>
      </c>
      <c r="P15" s="44" t="s">
        <v>48</v>
      </c>
    </row>
    <row r="16" spans="2:16" ht="14.4" customHeight="1" x14ac:dyDescent="0.3">
      <c r="B16" s="168" t="s">
        <v>81</v>
      </c>
      <c r="C16" s="169"/>
      <c r="D16" s="169"/>
      <c r="E16" s="169"/>
      <c r="F16" s="169"/>
      <c r="G16" s="169"/>
      <c r="H16" s="169"/>
      <c r="I16" s="169"/>
      <c r="J16" s="169"/>
      <c r="K16" s="169"/>
      <c r="L16" s="169"/>
      <c r="M16" s="169"/>
      <c r="N16" s="169"/>
      <c r="O16" s="169"/>
      <c r="P16" s="169"/>
    </row>
    <row r="17" spans="2:17" ht="14.4" customHeight="1" x14ac:dyDescent="0.3">
      <c r="B17" s="4"/>
      <c r="C17" s="75" t="s">
        <v>82</v>
      </c>
      <c r="D17" s="42">
        <f>VPTA!I3</f>
        <v>99769</v>
      </c>
      <c r="E17" s="42">
        <f>$D$17</f>
        <v>99769</v>
      </c>
      <c r="F17" s="42">
        <f t="shared" ref="F17:O17" si="0">$D$17</f>
        <v>99769</v>
      </c>
      <c r="G17" s="42">
        <f t="shared" si="0"/>
        <v>99769</v>
      </c>
      <c r="H17" s="42">
        <f t="shared" si="0"/>
        <v>99769</v>
      </c>
      <c r="I17" s="42">
        <f t="shared" si="0"/>
        <v>99769</v>
      </c>
      <c r="J17" s="42">
        <f t="shared" si="0"/>
        <v>99769</v>
      </c>
      <c r="K17" s="42">
        <f t="shared" si="0"/>
        <v>99769</v>
      </c>
      <c r="L17" s="42">
        <f t="shared" si="0"/>
        <v>99769</v>
      </c>
      <c r="M17" s="42">
        <f t="shared" si="0"/>
        <v>99769</v>
      </c>
      <c r="N17" s="42">
        <f t="shared" si="0"/>
        <v>99769</v>
      </c>
      <c r="O17" s="42">
        <f t="shared" si="0"/>
        <v>99769</v>
      </c>
      <c r="P17" s="42">
        <f>SUM(D17:O17)</f>
        <v>1197228</v>
      </c>
    </row>
    <row r="18" spans="2:17" ht="14.4" customHeight="1" x14ac:dyDescent="0.3">
      <c r="B18" s="4"/>
      <c r="C18" s="75" t="s">
        <v>120</v>
      </c>
      <c r="D18" s="81"/>
      <c r="E18" s="43"/>
      <c r="F18" s="43"/>
      <c r="G18" s="43"/>
      <c r="H18" s="43"/>
      <c r="I18" s="43"/>
      <c r="J18" s="43"/>
      <c r="K18" s="43"/>
      <c r="L18" s="43"/>
      <c r="M18" s="43"/>
      <c r="N18" s="43"/>
      <c r="O18" s="43"/>
      <c r="P18" s="42">
        <f>SUM(D18:O18)</f>
        <v>0</v>
      </c>
    </row>
    <row r="19" spans="2:17" x14ac:dyDescent="0.3">
      <c r="B19" s="150" t="s">
        <v>121</v>
      </c>
      <c r="C19" s="150"/>
      <c r="D19" s="82">
        <f>SUM(D15:D18)</f>
        <v>99769</v>
      </c>
      <c r="E19" s="82">
        <f t="shared" ref="E19:P19" si="1">SUM(E15:E18)</f>
        <v>99769</v>
      </c>
      <c r="F19" s="82">
        <f t="shared" si="1"/>
        <v>99769</v>
      </c>
      <c r="G19" s="82">
        <f t="shared" si="1"/>
        <v>99769</v>
      </c>
      <c r="H19" s="82">
        <f t="shared" si="1"/>
        <v>99769</v>
      </c>
      <c r="I19" s="82">
        <f t="shared" si="1"/>
        <v>99769</v>
      </c>
      <c r="J19" s="82">
        <f t="shared" si="1"/>
        <v>99769</v>
      </c>
      <c r="K19" s="82">
        <f t="shared" si="1"/>
        <v>99769</v>
      </c>
      <c r="L19" s="82">
        <f t="shared" si="1"/>
        <v>99769</v>
      </c>
      <c r="M19" s="82">
        <f t="shared" si="1"/>
        <v>99769</v>
      </c>
      <c r="N19" s="82">
        <f t="shared" si="1"/>
        <v>99769</v>
      </c>
      <c r="O19" s="82">
        <f t="shared" si="1"/>
        <v>99769</v>
      </c>
      <c r="P19" s="82">
        <f t="shared" si="1"/>
        <v>1197228</v>
      </c>
    </row>
    <row r="21" spans="2:17" ht="14.4" customHeight="1" x14ac:dyDescent="0.3">
      <c r="B21" s="161" t="s">
        <v>83</v>
      </c>
      <c r="C21" s="162"/>
      <c r="D21" s="170"/>
      <c r="E21" s="171"/>
      <c r="F21" s="171"/>
      <c r="G21" s="171"/>
      <c r="H21" s="171"/>
      <c r="I21" s="171"/>
      <c r="J21" s="171"/>
      <c r="K21" s="171"/>
      <c r="L21" s="171"/>
      <c r="M21" s="171"/>
      <c r="N21" s="171"/>
      <c r="O21" s="171"/>
      <c r="P21" s="172"/>
    </row>
    <row r="22" spans="2:17" ht="14.4" customHeight="1" x14ac:dyDescent="0.3">
      <c r="B22" s="39" t="s">
        <v>84</v>
      </c>
      <c r="C22" s="39" t="s">
        <v>85</v>
      </c>
      <c r="D22" s="170"/>
      <c r="E22" s="171"/>
      <c r="F22" s="171"/>
      <c r="G22" s="171"/>
      <c r="H22" s="171"/>
      <c r="I22" s="171"/>
      <c r="J22" s="171"/>
      <c r="K22" s="171"/>
      <c r="L22" s="171"/>
      <c r="M22" s="171"/>
      <c r="N22" s="171"/>
      <c r="O22" s="171"/>
      <c r="P22" s="172"/>
    </row>
    <row r="23" spans="2:17" x14ac:dyDescent="0.3">
      <c r="B23" s="40" t="s">
        <v>86</v>
      </c>
      <c r="C23" s="40" t="s">
        <v>87</v>
      </c>
      <c r="D23" s="47">
        <f>VPTA!D23</f>
        <v>48864.17</v>
      </c>
      <c r="E23" s="47">
        <f>$D$23</f>
        <v>48864.17</v>
      </c>
      <c r="F23" s="47">
        <f t="shared" ref="F23:O23" si="2">$D$23</f>
        <v>48864.17</v>
      </c>
      <c r="G23" s="47">
        <f t="shared" si="2"/>
        <v>48864.17</v>
      </c>
      <c r="H23" s="47">
        <f t="shared" si="2"/>
        <v>48864.17</v>
      </c>
      <c r="I23" s="47">
        <f t="shared" si="2"/>
        <v>48864.17</v>
      </c>
      <c r="J23" s="47">
        <f t="shared" si="2"/>
        <v>48864.17</v>
      </c>
      <c r="K23" s="47">
        <f t="shared" si="2"/>
        <v>48864.17</v>
      </c>
      <c r="L23" s="47">
        <f t="shared" si="2"/>
        <v>48864.17</v>
      </c>
      <c r="M23" s="47">
        <f t="shared" si="2"/>
        <v>48864.17</v>
      </c>
      <c r="N23" s="47">
        <f t="shared" si="2"/>
        <v>48864.17</v>
      </c>
      <c r="O23" s="47">
        <f t="shared" si="2"/>
        <v>48864.17</v>
      </c>
      <c r="P23" s="42">
        <f t="shared" ref="P23:P40" si="3">SUM(D23:O23)</f>
        <v>586370.03999999992</v>
      </c>
    </row>
    <row r="24" spans="2:17" x14ac:dyDescent="0.3">
      <c r="B24" s="41" t="s">
        <v>88</v>
      </c>
      <c r="C24" s="41" t="s">
        <v>12</v>
      </c>
      <c r="D24" s="46">
        <f>VPTA!K23</f>
        <v>3909.1336000000001</v>
      </c>
      <c r="E24" s="46">
        <f>$D$24</f>
        <v>3909.1336000000001</v>
      </c>
      <c r="F24" s="46">
        <f t="shared" ref="F24:O24" si="4">$D$24</f>
        <v>3909.1336000000001</v>
      </c>
      <c r="G24" s="46">
        <f t="shared" si="4"/>
        <v>3909.1336000000001</v>
      </c>
      <c r="H24" s="46">
        <f t="shared" si="4"/>
        <v>3909.1336000000001</v>
      </c>
      <c r="I24" s="46">
        <f t="shared" si="4"/>
        <v>3909.1336000000001</v>
      </c>
      <c r="J24" s="46">
        <f t="shared" si="4"/>
        <v>3909.1336000000001</v>
      </c>
      <c r="K24" s="46">
        <f t="shared" si="4"/>
        <v>3909.1336000000001</v>
      </c>
      <c r="L24" s="46">
        <f t="shared" si="4"/>
        <v>3909.1336000000001</v>
      </c>
      <c r="M24" s="46">
        <f t="shared" si="4"/>
        <v>3909.1336000000001</v>
      </c>
      <c r="N24" s="46">
        <f t="shared" si="4"/>
        <v>3909.1336000000001</v>
      </c>
      <c r="O24" s="46">
        <f t="shared" si="4"/>
        <v>3909.1336000000001</v>
      </c>
      <c r="P24" s="42">
        <f t="shared" si="3"/>
        <v>46909.603200000005</v>
      </c>
    </row>
    <row r="25" spans="2:17" x14ac:dyDescent="0.3">
      <c r="B25" s="41" t="s">
        <v>89</v>
      </c>
      <c r="C25" s="41" t="s">
        <v>90</v>
      </c>
      <c r="D25" s="45">
        <f>VPTA!H23+VPTA!I23</f>
        <v>11971.721650000001</v>
      </c>
      <c r="E25" s="45">
        <f>$D$25</f>
        <v>11971.721650000001</v>
      </c>
      <c r="F25" s="45">
        <f t="shared" ref="F25:O25" si="5">$D$25</f>
        <v>11971.721650000001</v>
      </c>
      <c r="G25" s="45">
        <f t="shared" si="5"/>
        <v>11971.721650000001</v>
      </c>
      <c r="H25" s="45">
        <f t="shared" si="5"/>
        <v>11971.721650000001</v>
      </c>
      <c r="I25" s="45">
        <f t="shared" si="5"/>
        <v>11971.721650000001</v>
      </c>
      <c r="J25" s="45">
        <f t="shared" si="5"/>
        <v>11971.721650000001</v>
      </c>
      <c r="K25" s="45">
        <f t="shared" si="5"/>
        <v>11971.721650000001</v>
      </c>
      <c r="L25" s="45">
        <f t="shared" si="5"/>
        <v>11971.721650000001</v>
      </c>
      <c r="M25" s="45">
        <f t="shared" si="5"/>
        <v>11971.721650000001</v>
      </c>
      <c r="N25" s="45">
        <f t="shared" si="5"/>
        <v>11971.721650000001</v>
      </c>
      <c r="O25" s="45">
        <f t="shared" si="5"/>
        <v>11971.721650000001</v>
      </c>
      <c r="P25" s="42">
        <f t="shared" si="3"/>
        <v>143660.65980000002</v>
      </c>
    </row>
    <row r="26" spans="2:17" x14ac:dyDescent="0.3">
      <c r="B26" s="41" t="s">
        <v>91</v>
      </c>
      <c r="C26" s="41" t="s">
        <v>24</v>
      </c>
      <c r="D26" s="45">
        <f>VPTA!O34</f>
        <v>583.6553638888887</v>
      </c>
      <c r="E26" s="45">
        <f>$D$26</f>
        <v>583.6553638888887</v>
      </c>
      <c r="F26" s="45">
        <f t="shared" ref="F26:O26" si="6">$D$26</f>
        <v>583.6553638888887</v>
      </c>
      <c r="G26" s="45">
        <f t="shared" si="6"/>
        <v>583.6553638888887</v>
      </c>
      <c r="H26" s="45">
        <f t="shared" si="6"/>
        <v>583.6553638888887</v>
      </c>
      <c r="I26" s="45">
        <f t="shared" si="6"/>
        <v>583.6553638888887</v>
      </c>
      <c r="J26" s="45">
        <f t="shared" si="6"/>
        <v>583.6553638888887</v>
      </c>
      <c r="K26" s="45">
        <f t="shared" si="6"/>
        <v>583.6553638888887</v>
      </c>
      <c r="L26" s="45">
        <f t="shared" si="6"/>
        <v>583.6553638888887</v>
      </c>
      <c r="M26" s="45">
        <f t="shared" si="6"/>
        <v>583.6553638888887</v>
      </c>
      <c r="N26" s="45">
        <f t="shared" si="6"/>
        <v>583.6553638888887</v>
      </c>
      <c r="O26" s="45">
        <f t="shared" si="6"/>
        <v>583.6553638888887</v>
      </c>
      <c r="P26" s="42">
        <f t="shared" si="3"/>
        <v>7003.8643666666658</v>
      </c>
    </row>
    <row r="27" spans="2:17" x14ac:dyDescent="0.3">
      <c r="B27" s="41" t="s">
        <v>92</v>
      </c>
      <c r="C27" s="41" t="s">
        <v>93</v>
      </c>
      <c r="D27" s="45">
        <f>VPTA!L34+VPTA!M34+VPTA!N34</f>
        <v>15718.729350000001</v>
      </c>
      <c r="E27" s="45">
        <f>$D$27</f>
        <v>15718.729350000001</v>
      </c>
      <c r="F27" s="45">
        <f t="shared" ref="F27:O27" si="7">$D$27</f>
        <v>15718.729350000001</v>
      </c>
      <c r="G27" s="45">
        <f t="shared" si="7"/>
        <v>15718.729350000001</v>
      </c>
      <c r="H27" s="45">
        <f t="shared" si="7"/>
        <v>15718.729350000001</v>
      </c>
      <c r="I27" s="45">
        <f t="shared" si="7"/>
        <v>15718.729350000001</v>
      </c>
      <c r="J27" s="45">
        <f t="shared" si="7"/>
        <v>15718.729350000001</v>
      </c>
      <c r="K27" s="45">
        <f t="shared" si="7"/>
        <v>15718.729350000001</v>
      </c>
      <c r="L27" s="45">
        <f t="shared" si="7"/>
        <v>15718.729350000001</v>
      </c>
      <c r="M27" s="45">
        <f t="shared" si="7"/>
        <v>15718.729350000001</v>
      </c>
      <c r="N27" s="45">
        <f t="shared" si="7"/>
        <v>15718.729350000001</v>
      </c>
      <c r="O27" s="45">
        <f t="shared" si="7"/>
        <v>15718.729350000001</v>
      </c>
      <c r="P27" s="42">
        <f t="shared" si="3"/>
        <v>188624.75220000008</v>
      </c>
    </row>
    <row r="28" spans="2:17" ht="13.95" customHeight="1" x14ac:dyDescent="0.3">
      <c r="B28" s="41" t="s">
        <v>94</v>
      </c>
      <c r="C28" s="41" t="s">
        <v>95</v>
      </c>
      <c r="D28" s="45">
        <f>SUM(VPTA!$F$23+VPTA!$J$23+VPTA!$L$23+VPTA!$M$23+VPTA!$N$23+VPTA!$O$23+VPTA!$P$23+VPTA!$I$34+VPTA!$J$34+VPTA!$K$34)</f>
        <v>16214.760411666666</v>
      </c>
      <c r="E28" s="45">
        <f>$D$28</f>
        <v>16214.760411666666</v>
      </c>
      <c r="F28" s="45">
        <f t="shared" ref="F28:O28" si="8">$D$28</f>
        <v>16214.760411666666</v>
      </c>
      <c r="G28" s="45">
        <f t="shared" si="8"/>
        <v>16214.760411666666</v>
      </c>
      <c r="H28" s="45">
        <f t="shared" si="8"/>
        <v>16214.760411666666</v>
      </c>
      <c r="I28" s="45">
        <f t="shared" si="8"/>
        <v>16214.760411666666</v>
      </c>
      <c r="J28" s="45">
        <f t="shared" si="8"/>
        <v>16214.760411666666</v>
      </c>
      <c r="K28" s="45">
        <f t="shared" si="8"/>
        <v>16214.760411666666</v>
      </c>
      <c r="L28" s="45">
        <f t="shared" si="8"/>
        <v>16214.760411666666</v>
      </c>
      <c r="M28" s="45">
        <f t="shared" si="8"/>
        <v>16214.760411666666</v>
      </c>
      <c r="N28" s="45">
        <f t="shared" si="8"/>
        <v>16214.760411666666</v>
      </c>
      <c r="O28" s="45">
        <f t="shared" si="8"/>
        <v>16214.760411666666</v>
      </c>
      <c r="P28" s="42">
        <f t="shared" ref="P28" si="9">SUM(D28:O28)</f>
        <v>194577.12494000001</v>
      </c>
      <c r="Q28" s="52"/>
    </row>
    <row r="29" spans="2:17" x14ac:dyDescent="0.3">
      <c r="B29" s="161" t="s">
        <v>96</v>
      </c>
      <c r="C29" s="162"/>
      <c r="D29" s="170"/>
      <c r="E29" s="171"/>
      <c r="F29" s="171"/>
      <c r="G29" s="171"/>
      <c r="H29" s="171"/>
      <c r="I29" s="171"/>
      <c r="J29" s="171"/>
      <c r="K29" s="171"/>
      <c r="L29" s="171"/>
      <c r="M29" s="171"/>
      <c r="N29" s="171"/>
      <c r="O29" s="171"/>
      <c r="P29" s="172"/>
    </row>
    <row r="30" spans="2:17" x14ac:dyDescent="0.3">
      <c r="B30" s="39" t="s">
        <v>97</v>
      </c>
      <c r="C30" s="39" t="s">
        <v>98</v>
      </c>
      <c r="D30" s="163"/>
      <c r="E30" s="164"/>
      <c r="F30" s="164"/>
      <c r="G30" s="164"/>
      <c r="H30" s="164"/>
      <c r="I30" s="164"/>
      <c r="J30" s="164"/>
      <c r="K30" s="164"/>
      <c r="L30" s="164"/>
      <c r="M30" s="164"/>
      <c r="N30" s="164"/>
      <c r="O30" s="164"/>
      <c r="P30" s="165"/>
    </row>
    <row r="31" spans="2:17" x14ac:dyDescent="0.3">
      <c r="B31" s="40" t="s">
        <v>99</v>
      </c>
      <c r="C31" s="40" t="s">
        <v>138</v>
      </c>
      <c r="D31" s="70">
        <v>1000</v>
      </c>
      <c r="E31" s="42">
        <f t="shared" ref="E31:O31" si="10">$D$31</f>
        <v>1000</v>
      </c>
      <c r="F31" s="42">
        <f t="shared" si="10"/>
        <v>1000</v>
      </c>
      <c r="G31" s="42">
        <f t="shared" si="10"/>
        <v>1000</v>
      </c>
      <c r="H31" s="42">
        <f t="shared" si="10"/>
        <v>1000</v>
      </c>
      <c r="I31" s="42">
        <f t="shared" si="10"/>
        <v>1000</v>
      </c>
      <c r="J31" s="42">
        <f t="shared" si="10"/>
        <v>1000</v>
      </c>
      <c r="K31" s="42">
        <f t="shared" si="10"/>
        <v>1000</v>
      </c>
      <c r="L31" s="42">
        <f t="shared" si="10"/>
        <v>1000</v>
      </c>
      <c r="M31" s="42">
        <f t="shared" si="10"/>
        <v>1000</v>
      </c>
      <c r="N31" s="42">
        <f t="shared" si="10"/>
        <v>1000</v>
      </c>
      <c r="O31" s="42">
        <f t="shared" si="10"/>
        <v>1000</v>
      </c>
      <c r="P31" s="42">
        <f>SUM(D31:O31)</f>
        <v>12000</v>
      </c>
    </row>
    <row r="32" spans="2:17" x14ac:dyDescent="0.3">
      <c r="B32" s="40" t="s">
        <v>100</v>
      </c>
      <c r="C32" s="40" t="s">
        <v>139</v>
      </c>
      <c r="D32" s="70">
        <v>1000</v>
      </c>
      <c r="E32" s="42">
        <f>$D$32</f>
        <v>1000</v>
      </c>
      <c r="F32" s="42">
        <f t="shared" ref="F32:O32" si="11">$D$32</f>
        <v>1000</v>
      </c>
      <c r="G32" s="42">
        <f t="shared" si="11"/>
        <v>1000</v>
      </c>
      <c r="H32" s="42">
        <f t="shared" si="11"/>
        <v>1000</v>
      </c>
      <c r="I32" s="42">
        <f t="shared" si="11"/>
        <v>1000</v>
      </c>
      <c r="J32" s="42">
        <f t="shared" si="11"/>
        <v>1000</v>
      </c>
      <c r="K32" s="42">
        <f t="shared" si="11"/>
        <v>1000</v>
      </c>
      <c r="L32" s="42">
        <f t="shared" si="11"/>
        <v>1000</v>
      </c>
      <c r="M32" s="42">
        <f t="shared" si="11"/>
        <v>1000</v>
      </c>
      <c r="N32" s="42">
        <f t="shared" si="11"/>
        <v>1000</v>
      </c>
      <c r="O32" s="42">
        <f t="shared" si="11"/>
        <v>1000</v>
      </c>
      <c r="P32" s="42">
        <f t="shared" ref="P32:P33" si="12">SUM(D32:O32)</f>
        <v>12000</v>
      </c>
    </row>
    <row r="33" spans="2:16" x14ac:dyDescent="0.3">
      <c r="B33" s="40" t="s">
        <v>140</v>
      </c>
      <c r="C33" s="40" t="s">
        <v>141</v>
      </c>
      <c r="D33" s="70">
        <v>2000</v>
      </c>
      <c r="E33" s="42">
        <f>$D$33</f>
        <v>2000</v>
      </c>
      <c r="F33" s="42">
        <f t="shared" ref="F33:O33" si="13">$D$33</f>
        <v>2000</v>
      </c>
      <c r="G33" s="42">
        <f t="shared" si="13"/>
        <v>2000</v>
      </c>
      <c r="H33" s="42">
        <f t="shared" si="13"/>
        <v>2000</v>
      </c>
      <c r="I33" s="42">
        <f t="shared" si="13"/>
        <v>2000</v>
      </c>
      <c r="J33" s="42">
        <f t="shared" si="13"/>
        <v>2000</v>
      </c>
      <c r="K33" s="42">
        <f t="shared" si="13"/>
        <v>2000</v>
      </c>
      <c r="L33" s="42">
        <f t="shared" si="13"/>
        <v>2000</v>
      </c>
      <c r="M33" s="42">
        <f t="shared" si="13"/>
        <v>2000</v>
      </c>
      <c r="N33" s="42">
        <f t="shared" si="13"/>
        <v>2000</v>
      </c>
      <c r="O33" s="42">
        <f t="shared" si="13"/>
        <v>2000</v>
      </c>
      <c r="P33" s="42">
        <f t="shared" si="12"/>
        <v>24000</v>
      </c>
    </row>
    <row r="34" spans="2:16" x14ac:dyDescent="0.3">
      <c r="B34" s="40" t="s">
        <v>142</v>
      </c>
      <c r="C34" s="40" t="s">
        <v>143</v>
      </c>
      <c r="D34" s="70">
        <v>3000</v>
      </c>
      <c r="E34" s="42">
        <f>$D$34</f>
        <v>3000</v>
      </c>
      <c r="F34" s="42">
        <f t="shared" ref="F34:O34" si="14">$D$34</f>
        <v>3000</v>
      </c>
      <c r="G34" s="42">
        <f t="shared" si="14"/>
        <v>3000</v>
      </c>
      <c r="H34" s="42">
        <f t="shared" si="14"/>
        <v>3000</v>
      </c>
      <c r="I34" s="42">
        <f t="shared" si="14"/>
        <v>3000</v>
      </c>
      <c r="J34" s="42">
        <f t="shared" si="14"/>
        <v>3000</v>
      </c>
      <c r="K34" s="42">
        <f t="shared" si="14"/>
        <v>3000</v>
      </c>
      <c r="L34" s="42">
        <f t="shared" si="14"/>
        <v>3000</v>
      </c>
      <c r="M34" s="42">
        <f t="shared" si="14"/>
        <v>3000</v>
      </c>
      <c r="N34" s="42">
        <f t="shared" si="14"/>
        <v>3000</v>
      </c>
      <c r="O34" s="42">
        <f t="shared" si="14"/>
        <v>3000</v>
      </c>
      <c r="P34" s="42">
        <f>SUM(D34:O34)</f>
        <v>36000</v>
      </c>
    </row>
    <row r="35" spans="2:16" x14ac:dyDescent="0.3">
      <c r="B35" s="39" t="s">
        <v>101</v>
      </c>
      <c r="C35" s="39" t="s">
        <v>102</v>
      </c>
      <c r="D35" s="147"/>
      <c r="E35" s="148"/>
      <c r="F35" s="148"/>
      <c r="G35" s="148"/>
      <c r="H35" s="148"/>
      <c r="I35" s="148"/>
      <c r="J35" s="148"/>
      <c r="K35" s="148"/>
      <c r="L35" s="148"/>
      <c r="M35" s="148"/>
      <c r="N35" s="148"/>
      <c r="O35" s="148"/>
      <c r="P35" s="149"/>
    </row>
    <row r="36" spans="2:16" x14ac:dyDescent="0.3">
      <c r="B36" s="40" t="s">
        <v>126</v>
      </c>
      <c r="C36" s="89" t="s">
        <v>127</v>
      </c>
      <c r="D36" s="42">
        <v>3500</v>
      </c>
      <c r="E36" s="42">
        <f>$D$36</f>
        <v>3500</v>
      </c>
      <c r="F36" s="42">
        <f t="shared" ref="F36:O36" si="15">$D$36</f>
        <v>3500</v>
      </c>
      <c r="G36" s="42">
        <f t="shared" si="15"/>
        <v>3500</v>
      </c>
      <c r="H36" s="42">
        <f t="shared" si="15"/>
        <v>3500</v>
      </c>
      <c r="I36" s="42">
        <f t="shared" si="15"/>
        <v>3500</v>
      </c>
      <c r="J36" s="42">
        <f t="shared" si="15"/>
        <v>3500</v>
      </c>
      <c r="K36" s="42">
        <f t="shared" si="15"/>
        <v>3500</v>
      </c>
      <c r="L36" s="42">
        <f t="shared" si="15"/>
        <v>3500</v>
      </c>
      <c r="M36" s="42">
        <f t="shared" si="15"/>
        <v>3500</v>
      </c>
      <c r="N36" s="42">
        <f t="shared" si="15"/>
        <v>3500</v>
      </c>
      <c r="O36" s="42">
        <f t="shared" si="15"/>
        <v>3500</v>
      </c>
      <c r="P36" s="42">
        <f t="shared" si="3"/>
        <v>42000</v>
      </c>
    </row>
    <row r="37" spans="2:16" x14ac:dyDescent="0.3">
      <c r="B37" s="40" t="s">
        <v>103</v>
      </c>
      <c r="C37" s="89" t="s">
        <v>144</v>
      </c>
      <c r="D37" s="42">
        <v>3000</v>
      </c>
      <c r="E37" s="42">
        <f>$D$37</f>
        <v>3000</v>
      </c>
      <c r="F37" s="42">
        <f t="shared" ref="F37:O37" si="16">$D$37</f>
        <v>3000</v>
      </c>
      <c r="G37" s="42">
        <f t="shared" si="16"/>
        <v>3000</v>
      </c>
      <c r="H37" s="42">
        <f t="shared" si="16"/>
        <v>3000</v>
      </c>
      <c r="I37" s="42">
        <f t="shared" si="16"/>
        <v>3000</v>
      </c>
      <c r="J37" s="42">
        <f t="shared" si="16"/>
        <v>3000</v>
      </c>
      <c r="K37" s="42">
        <f t="shared" si="16"/>
        <v>3000</v>
      </c>
      <c r="L37" s="42">
        <f t="shared" si="16"/>
        <v>3000</v>
      </c>
      <c r="M37" s="42">
        <f t="shared" si="16"/>
        <v>3000</v>
      </c>
      <c r="N37" s="42">
        <f t="shared" si="16"/>
        <v>3000</v>
      </c>
      <c r="O37" s="42">
        <f t="shared" si="16"/>
        <v>3000</v>
      </c>
      <c r="P37" s="42">
        <f t="shared" si="3"/>
        <v>36000</v>
      </c>
    </row>
    <row r="38" spans="2:16" x14ac:dyDescent="0.3">
      <c r="B38" s="40" t="s">
        <v>130</v>
      </c>
      <c r="C38" s="89" t="s">
        <v>145</v>
      </c>
      <c r="D38" s="42">
        <v>3500</v>
      </c>
      <c r="E38" s="42">
        <f>$D$38</f>
        <v>3500</v>
      </c>
      <c r="F38" s="42">
        <f t="shared" ref="F38:O38" si="17">$D$38</f>
        <v>3500</v>
      </c>
      <c r="G38" s="42">
        <f t="shared" si="17"/>
        <v>3500</v>
      </c>
      <c r="H38" s="42">
        <f t="shared" si="17"/>
        <v>3500</v>
      </c>
      <c r="I38" s="42">
        <f t="shared" si="17"/>
        <v>3500</v>
      </c>
      <c r="J38" s="42">
        <f t="shared" si="17"/>
        <v>3500</v>
      </c>
      <c r="K38" s="42">
        <f t="shared" si="17"/>
        <v>3500</v>
      </c>
      <c r="L38" s="42">
        <f t="shared" si="17"/>
        <v>3500</v>
      </c>
      <c r="M38" s="42">
        <f t="shared" si="17"/>
        <v>3500</v>
      </c>
      <c r="N38" s="42">
        <f t="shared" si="17"/>
        <v>3500</v>
      </c>
      <c r="O38" s="42">
        <f t="shared" si="17"/>
        <v>3500</v>
      </c>
      <c r="P38" s="42">
        <f t="shared" si="3"/>
        <v>42000</v>
      </c>
    </row>
    <row r="39" spans="2:16" x14ac:dyDescent="0.3">
      <c r="B39" s="40" t="s">
        <v>104</v>
      </c>
      <c r="C39" s="89" t="s">
        <v>146</v>
      </c>
      <c r="D39" s="42">
        <v>3000</v>
      </c>
      <c r="E39" s="42">
        <f>$D$39</f>
        <v>3000</v>
      </c>
      <c r="F39" s="42">
        <f t="shared" ref="F39:O39" si="18">$D$39</f>
        <v>3000</v>
      </c>
      <c r="G39" s="42">
        <f t="shared" si="18"/>
        <v>3000</v>
      </c>
      <c r="H39" s="42">
        <f t="shared" si="18"/>
        <v>3000</v>
      </c>
      <c r="I39" s="42">
        <f t="shared" si="18"/>
        <v>3000</v>
      </c>
      <c r="J39" s="42">
        <f t="shared" si="18"/>
        <v>3000</v>
      </c>
      <c r="K39" s="42">
        <f t="shared" si="18"/>
        <v>3000</v>
      </c>
      <c r="L39" s="42">
        <f t="shared" si="18"/>
        <v>3000</v>
      </c>
      <c r="M39" s="42">
        <f t="shared" si="18"/>
        <v>3000</v>
      </c>
      <c r="N39" s="42">
        <f t="shared" si="18"/>
        <v>3000</v>
      </c>
      <c r="O39" s="42">
        <f t="shared" si="18"/>
        <v>3000</v>
      </c>
      <c r="P39" s="42">
        <f t="shared" si="3"/>
        <v>36000</v>
      </c>
    </row>
    <row r="40" spans="2:16" x14ac:dyDescent="0.3">
      <c r="B40" s="40" t="s">
        <v>128</v>
      </c>
      <c r="C40" s="40" t="s">
        <v>114</v>
      </c>
      <c r="D40" s="70">
        <v>1000</v>
      </c>
      <c r="E40" s="42">
        <f>$D$40</f>
        <v>1000</v>
      </c>
      <c r="F40" s="42">
        <f t="shared" ref="F40:O40" si="19">$D$40</f>
        <v>1000</v>
      </c>
      <c r="G40" s="42">
        <f t="shared" si="19"/>
        <v>1000</v>
      </c>
      <c r="H40" s="42">
        <f t="shared" si="19"/>
        <v>1000</v>
      </c>
      <c r="I40" s="42">
        <f t="shared" si="19"/>
        <v>1000</v>
      </c>
      <c r="J40" s="42">
        <f t="shared" si="19"/>
        <v>1000</v>
      </c>
      <c r="K40" s="42">
        <f t="shared" si="19"/>
        <v>1000</v>
      </c>
      <c r="L40" s="42">
        <f t="shared" si="19"/>
        <v>1000</v>
      </c>
      <c r="M40" s="42">
        <f t="shared" si="19"/>
        <v>1000</v>
      </c>
      <c r="N40" s="42">
        <f t="shared" si="19"/>
        <v>1000</v>
      </c>
      <c r="O40" s="42">
        <f t="shared" si="19"/>
        <v>1000</v>
      </c>
      <c r="P40" s="42">
        <f t="shared" si="3"/>
        <v>12000</v>
      </c>
    </row>
    <row r="41" spans="2:16" x14ac:dyDescent="0.3">
      <c r="B41" s="39" t="s">
        <v>105</v>
      </c>
      <c r="C41" s="39" t="s">
        <v>106</v>
      </c>
      <c r="D41" s="74"/>
      <c r="E41" s="74"/>
      <c r="F41" s="74"/>
      <c r="G41" s="74"/>
      <c r="H41" s="74"/>
      <c r="I41" s="74"/>
      <c r="J41" s="74"/>
      <c r="K41" s="74"/>
      <c r="L41" s="74"/>
      <c r="M41" s="74"/>
      <c r="N41" s="74"/>
      <c r="O41" s="74"/>
      <c r="P41" s="74"/>
    </row>
    <row r="42" spans="2:16" ht="14.4" customHeight="1" x14ac:dyDescent="0.3">
      <c r="B42" s="145" t="s">
        <v>107</v>
      </c>
      <c r="C42" s="145" t="s">
        <v>147</v>
      </c>
      <c r="D42" s="143">
        <v>2471.36</v>
      </c>
      <c r="E42" s="143">
        <f>$D$42</f>
        <v>2471.36</v>
      </c>
      <c r="F42" s="143">
        <f t="shared" ref="F42:O42" si="20">$D$42</f>
        <v>2471.36</v>
      </c>
      <c r="G42" s="143">
        <f t="shared" si="20"/>
        <v>2471.36</v>
      </c>
      <c r="H42" s="143">
        <f t="shared" si="20"/>
        <v>2471.36</v>
      </c>
      <c r="I42" s="143">
        <f t="shared" si="20"/>
        <v>2471.36</v>
      </c>
      <c r="J42" s="143">
        <f t="shared" si="20"/>
        <v>2471.36</v>
      </c>
      <c r="K42" s="143">
        <f t="shared" si="20"/>
        <v>2471.36</v>
      </c>
      <c r="L42" s="143">
        <f t="shared" si="20"/>
        <v>2471.36</v>
      </c>
      <c r="M42" s="143">
        <f t="shared" si="20"/>
        <v>2471.36</v>
      </c>
      <c r="N42" s="143">
        <f t="shared" si="20"/>
        <v>2471.36</v>
      </c>
      <c r="O42" s="143">
        <f t="shared" si="20"/>
        <v>2471.36</v>
      </c>
      <c r="P42" s="143">
        <f>SUM(D42:O52)</f>
        <v>29656.320000000003</v>
      </c>
    </row>
    <row r="43" spans="2:16" x14ac:dyDescent="0.3">
      <c r="B43" s="146"/>
      <c r="C43" s="146"/>
      <c r="D43" s="144"/>
      <c r="E43" s="144"/>
      <c r="F43" s="144"/>
      <c r="G43" s="144"/>
      <c r="H43" s="144"/>
      <c r="I43" s="144"/>
      <c r="J43" s="144"/>
      <c r="K43" s="144"/>
      <c r="L43" s="144"/>
      <c r="M43" s="144"/>
      <c r="N43" s="144"/>
      <c r="O43" s="144"/>
      <c r="P43" s="144"/>
    </row>
    <row r="44" spans="2:16" x14ac:dyDescent="0.3">
      <c r="B44" s="146"/>
      <c r="C44" s="146"/>
      <c r="D44" s="144"/>
      <c r="E44" s="144"/>
      <c r="F44" s="144"/>
      <c r="G44" s="144"/>
      <c r="H44" s="144"/>
      <c r="I44" s="144"/>
      <c r="J44" s="144"/>
      <c r="K44" s="144"/>
      <c r="L44" s="144"/>
      <c r="M44" s="144"/>
      <c r="N44" s="144"/>
      <c r="O44" s="144"/>
      <c r="P44" s="144"/>
    </row>
    <row r="45" spans="2:16" x14ac:dyDescent="0.3">
      <c r="B45" s="146"/>
      <c r="C45" s="146"/>
      <c r="D45" s="144"/>
      <c r="E45" s="144"/>
      <c r="F45" s="144"/>
      <c r="G45" s="144"/>
      <c r="H45" s="144"/>
      <c r="I45" s="144"/>
      <c r="J45" s="144"/>
      <c r="K45" s="144"/>
      <c r="L45" s="144"/>
      <c r="M45" s="144"/>
      <c r="N45" s="144"/>
      <c r="O45" s="144"/>
      <c r="P45" s="144"/>
    </row>
    <row r="46" spans="2:16" x14ac:dyDescent="0.3">
      <c r="B46" s="146"/>
      <c r="C46" s="146"/>
      <c r="D46" s="144"/>
      <c r="E46" s="144"/>
      <c r="F46" s="144"/>
      <c r="G46" s="144"/>
      <c r="H46" s="144"/>
      <c r="I46" s="144"/>
      <c r="J46" s="144"/>
      <c r="K46" s="144"/>
      <c r="L46" s="144"/>
      <c r="M46" s="144"/>
      <c r="N46" s="144"/>
      <c r="O46" s="144"/>
      <c r="P46" s="144"/>
    </row>
    <row r="47" spans="2:16" x14ac:dyDescent="0.3">
      <c r="B47" s="146"/>
      <c r="C47" s="146"/>
      <c r="D47" s="144"/>
      <c r="E47" s="144"/>
      <c r="F47" s="144"/>
      <c r="G47" s="144"/>
      <c r="H47" s="144"/>
      <c r="I47" s="144"/>
      <c r="J47" s="144"/>
      <c r="K47" s="144"/>
      <c r="L47" s="144"/>
      <c r="M47" s="144"/>
      <c r="N47" s="144"/>
      <c r="O47" s="144"/>
      <c r="P47" s="144"/>
    </row>
    <row r="48" spans="2:16" x14ac:dyDescent="0.3">
      <c r="B48" s="146"/>
      <c r="C48" s="146"/>
      <c r="D48" s="144"/>
      <c r="E48" s="144"/>
      <c r="F48" s="144"/>
      <c r="G48" s="144"/>
      <c r="H48" s="144"/>
      <c r="I48" s="144"/>
      <c r="J48" s="144"/>
      <c r="K48" s="144"/>
      <c r="L48" s="144"/>
      <c r="M48" s="144"/>
      <c r="N48" s="144"/>
      <c r="O48" s="144"/>
      <c r="P48" s="144"/>
    </row>
    <row r="49" spans="2:17" x14ac:dyDescent="0.3">
      <c r="B49" s="146"/>
      <c r="C49" s="146"/>
      <c r="D49" s="144"/>
      <c r="E49" s="144"/>
      <c r="F49" s="144"/>
      <c r="G49" s="144"/>
      <c r="H49" s="144"/>
      <c r="I49" s="144"/>
      <c r="J49" s="144"/>
      <c r="K49" s="144"/>
      <c r="L49" s="144"/>
      <c r="M49" s="144"/>
      <c r="N49" s="144"/>
      <c r="O49" s="144"/>
      <c r="P49" s="144"/>
    </row>
    <row r="50" spans="2:17" x14ac:dyDescent="0.3">
      <c r="B50" s="146"/>
      <c r="C50" s="146"/>
      <c r="D50" s="144"/>
      <c r="E50" s="144"/>
      <c r="F50" s="144"/>
      <c r="G50" s="144"/>
      <c r="H50" s="144"/>
      <c r="I50" s="144"/>
      <c r="J50" s="144"/>
      <c r="K50" s="144"/>
      <c r="L50" s="144"/>
      <c r="M50" s="144"/>
      <c r="N50" s="144"/>
      <c r="O50" s="144"/>
      <c r="P50" s="144"/>
    </row>
    <row r="51" spans="2:17" x14ac:dyDescent="0.3">
      <c r="B51" s="146"/>
      <c r="C51" s="146"/>
      <c r="D51" s="144"/>
      <c r="E51" s="144"/>
      <c r="F51" s="144"/>
      <c r="G51" s="144"/>
      <c r="H51" s="144"/>
      <c r="I51" s="144"/>
      <c r="J51" s="144"/>
      <c r="K51" s="144"/>
      <c r="L51" s="144"/>
      <c r="M51" s="144"/>
      <c r="N51" s="144"/>
      <c r="O51" s="144"/>
      <c r="P51" s="144"/>
    </row>
    <row r="52" spans="2:17" x14ac:dyDescent="0.3">
      <c r="B52" s="146"/>
      <c r="C52" s="146"/>
      <c r="D52" s="144"/>
      <c r="E52" s="144"/>
      <c r="F52" s="144"/>
      <c r="G52" s="144"/>
      <c r="H52" s="144"/>
      <c r="I52" s="144"/>
      <c r="J52" s="144"/>
      <c r="K52" s="144"/>
      <c r="L52" s="144"/>
      <c r="M52" s="144"/>
      <c r="N52" s="144"/>
      <c r="O52" s="144"/>
      <c r="P52" s="144"/>
    </row>
    <row r="53" spans="2:17" x14ac:dyDescent="0.3">
      <c r="B53" s="150" t="s">
        <v>108</v>
      </c>
      <c r="C53" s="150"/>
      <c r="D53" s="48">
        <f t="shared" ref="D53:O53" si="21">SUM(D23:D28)</f>
        <v>97262.17037555555</v>
      </c>
      <c r="E53" s="48">
        <f t="shared" si="21"/>
        <v>97262.17037555555</v>
      </c>
      <c r="F53" s="48">
        <f t="shared" si="21"/>
        <v>97262.17037555555</v>
      </c>
      <c r="G53" s="48">
        <f t="shared" si="21"/>
        <v>97262.17037555555</v>
      </c>
      <c r="H53" s="48">
        <f t="shared" si="21"/>
        <v>97262.17037555555</v>
      </c>
      <c r="I53" s="48">
        <f t="shared" si="21"/>
        <v>97262.17037555555</v>
      </c>
      <c r="J53" s="48">
        <f t="shared" si="21"/>
        <v>97262.17037555555</v>
      </c>
      <c r="K53" s="48">
        <f t="shared" si="21"/>
        <v>97262.17037555555</v>
      </c>
      <c r="L53" s="48">
        <f t="shared" si="21"/>
        <v>97262.17037555555</v>
      </c>
      <c r="M53" s="48">
        <f t="shared" si="21"/>
        <v>97262.17037555555</v>
      </c>
      <c r="N53" s="48">
        <f t="shared" si="21"/>
        <v>97262.17037555555</v>
      </c>
      <c r="O53" s="48">
        <f t="shared" si="21"/>
        <v>97262.17037555555</v>
      </c>
      <c r="P53" s="48">
        <f>SUM(D53:O53)</f>
        <v>1167146.0445066665</v>
      </c>
    </row>
    <row r="54" spans="2:17" x14ac:dyDescent="0.3">
      <c r="D54" s="43"/>
      <c r="E54" s="43"/>
      <c r="F54" s="43"/>
      <c r="G54" s="43"/>
      <c r="H54" s="43"/>
      <c r="I54" s="43"/>
      <c r="J54" s="43"/>
      <c r="K54" s="43"/>
      <c r="L54" s="43"/>
      <c r="M54" s="43"/>
      <c r="N54" s="43"/>
      <c r="O54" s="43"/>
    </row>
    <row r="55" spans="2:17" ht="14.4" customHeight="1" x14ac:dyDescent="0.3">
      <c r="B55" s="161" t="s">
        <v>109</v>
      </c>
      <c r="C55" s="162"/>
      <c r="D55" s="48">
        <f t="shared" ref="D55:P55" si="22">SUM(D31:D34,D36:D40,D42)</f>
        <v>23471.360000000001</v>
      </c>
      <c r="E55" s="48">
        <f t="shared" si="22"/>
        <v>23471.360000000001</v>
      </c>
      <c r="F55" s="48">
        <f t="shared" si="22"/>
        <v>23471.360000000001</v>
      </c>
      <c r="G55" s="48">
        <f t="shared" si="22"/>
        <v>23471.360000000001</v>
      </c>
      <c r="H55" s="48">
        <f t="shared" si="22"/>
        <v>23471.360000000001</v>
      </c>
      <c r="I55" s="48">
        <f t="shared" si="22"/>
        <v>23471.360000000001</v>
      </c>
      <c r="J55" s="48">
        <f t="shared" si="22"/>
        <v>23471.360000000001</v>
      </c>
      <c r="K55" s="48">
        <f t="shared" si="22"/>
        <v>23471.360000000001</v>
      </c>
      <c r="L55" s="48">
        <f t="shared" si="22"/>
        <v>23471.360000000001</v>
      </c>
      <c r="M55" s="48">
        <f t="shared" si="22"/>
        <v>23471.360000000001</v>
      </c>
      <c r="N55" s="48">
        <f t="shared" si="22"/>
        <v>23471.360000000001</v>
      </c>
      <c r="O55" s="48">
        <f t="shared" si="22"/>
        <v>23471.360000000001</v>
      </c>
      <c r="P55" s="48">
        <f t="shared" si="22"/>
        <v>281656.32000000001</v>
      </c>
    </row>
    <row r="57" spans="2:17" ht="14.4" customHeight="1" x14ac:dyDescent="0.3">
      <c r="B57" s="161" t="s">
        <v>110</v>
      </c>
      <c r="C57" s="162"/>
      <c r="D57" s="49">
        <f t="shared" ref="D57:O57" si="23">SUM(D53+D55)</f>
        <v>120733.53037555555</v>
      </c>
      <c r="E57" s="49">
        <f t="shared" si="23"/>
        <v>120733.53037555555</v>
      </c>
      <c r="F57" s="49">
        <f t="shared" si="23"/>
        <v>120733.53037555555</v>
      </c>
      <c r="G57" s="49">
        <f t="shared" si="23"/>
        <v>120733.53037555555</v>
      </c>
      <c r="H57" s="49">
        <f t="shared" si="23"/>
        <v>120733.53037555555</v>
      </c>
      <c r="I57" s="49">
        <f t="shared" si="23"/>
        <v>120733.53037555555</v>
      </c>
      <c r="J57" s="49">
        <f t="shared" si="23"/>
        <v>120733.53037555555</v>
      </c>
      <c r="K57" s="49">
        <f t="shared" si="23"/>
        <v>120733.53037555555</v>
      </c>
      <c r="L57" s="49">
        <f t="shared" si="23"/>
        <v>120733.53037555555</v>
      </c>
      <c r="M57" s="49">
        <f t="shared" si="23"/>
        <v>120733.53037555555</v>
      </c>
      <c r="N57" s="49">
        <f t="shared" si="23"/>
        <v>120733.53037555555</v>
      </c>
      <c r="O57" s="49">
        <f t="shared" si="23"/>
        <v>120733.53037555555</v>
      </c>
      <c r="P57" s="48">
        <f>SUM(D57:O57)</f>
        <v>1448802.3645066668</v>
      </c>
      <c r="Q57" s="50"/>
    </row>
    <row r="59" spans="2:17" x14ac:dyDescent="0.3">
      <c r="B59" s="161" t="s">
        <v>115</v>
      </c>
      <c r="C59" s="162"/>
      <c r="D59" s="49">
        <f t="shared" ref="D59:P59" si="24">D19-D57</f>
        <v>-20964.530375555551</v>
      </c>
      <c r="E59" s="49">
        <f t="shared" si="24"/>
        <v>-20964.530375555551</v>
      </c>
      <c r="F59" s="49">
        <f t="shared" si="24"/>
        <v>-20964.530375555551</v>
      </c>
      <c r="G59" s="49">
        <f t="shared" si="24"/>
        <v>-20964.530375555551</v>
      </c>
      <c r="H59" s="49">
        <f t="shared" si="24"/>
        <v>-20964.530375555551</v>
      </c>
      <c r="I59" s="49">
        <f t="shared" si="24"/>
        <v>-20964.530375555551</v>
      </c>
      <c r="J59" s="49">
        <f t="shared" si="24"/>
        <v>-20964.530375555551</v>
      </c>
      <c r="K59" s="49">
        <f t="shared" si="24"/>
        <v>-20964.530375555551</v>
      </c>
      <c r="L59" s="49">
        <f t="shared" si="24"/>
        <v>-20964.530375555551</v>
      </c>
      <c r="M59" s="49">
        <f t="shared" si="24"/>
        <v>-20964.530375555551</v>
      </c>
      <c r="N59" s="49">
        <f t="shared" si="24"/>
        <v>-20964.530375555551</v>
      </c>
      <c r="O59" s="49">
        <f t="shared" si="24"/>
        <v>-20964.530375555551</v>
      </c>
      <c r="P59" s="49">
        <f t="shared" si="24"/>
        <v>-251574.36450666678</v>
      </c>
    </row>
    <row r="61" spans="2:17" ht="14.4" customHeight="1" x14ac:dyDescent="0.3">
      <c r="B61" s="157" t="s">
        <v>111</v>
      </c>
      <c r="C61" s="158"/>
      <c r="D61" s="151"/>
      <c r="E61" s="152"/>
      <c r="F61" s="152"/>
      <c r="G61" s="152"/>
      <c r="H61" s="152"/>
      <c r="I61" s="152"/>
      <c r="J61" s="152"/>
      <c r="K61" s="152"/>
      <c r="L61" s="152"/>
      <c r="M61" s="152"/>
      <c r="N61" s="152"/>
      <c r="O61" s="152"/>
      <c r="P61" s="153"/>
    </row>
    <row r="62" spans="2:17" x14ac:dyDescent="0.3">
      <c r="B62" s="159"/>
      <c r="C62" s="160"/>
      <c r="D62" s="154"/>
      <c r="E62" s="120"/>
      <c r="F62" s="120"/>
      <c r="G62" s="120"/>
      <c r="H62" s="120"/>
      <c r="I62" s="120"/>
      <c r="J62" s="120"/>
      <c r="K62" s="120"/>
      <c r="L62" s="120"/>
      <c r="M62" s="120"/>
      <c r="N62" s="120"/>
      <c r="O62" s="120"/>
      <c r="P62" s="155"/>
    </row>
    <row r="63" spans="2:17" ht="14.4" customHeight="1" x14ac:dyDescent="0.3">
      <c r="B63" s="157" t="s">
        <v>112</v>
      </c>
      <c r="C63" s="158"/>
      <c r="D63" s="151"/>
      <c r="E63" s="152"/>
      <c r="F63" s="152"/>
      <c r="G63" s="152"/>
      <c r="H63" s="152"/>
      <c r="I63" s="152"/>
      <c r="J63" s="152"/>
      <c r="K63" s="152"/>
      <c r="L63" s="152"/>
      <c r="M63" s="152"/>
      <c r="N63" s="152"/>
      <c r="O63" s="152"/>
      <c r="P63" s="153"/>
    </row>
    <row r="64" spans="2:17" x14ac:dyDescent="0.3">
      <c r="B64" s="159"/>
      <c r="C64" s="160"/>
      <c r="D64" s="154"/>
      <c r="E64" s="120"/>
      <c r="F64" s="120"/>
      <c r="G64" s="120"/>
      <c r="H64" s="120"/>
      <c r="I64" s="120"/>
      <c r="J64" s="120"/>
      <c r="K64" s="120"/>
      <c r="L64" s="120"/>
      <c r="M64" s="120"/>
      <c r="N64" s="120"/>
      <c r="O64" s="120"/>
      <c r="P64" s="155"/>
    </row>
    <row r="65" spans="2:16" x14ac:dyDescent="0.3">
      <c r="B65" s="150" t="s">
        <v>113</v>
      </c>
      <c r="C65" s="150"/>
      <c r="D65" s="156"/>
      <c r="E65" s="156"/>
      <c r="F65" s="156"/>
      <c r="G65" s="156"/>
      <c r="H65" s="156"/>
      <c r="I65" s="156"/>
      <c r="J65" s="156"/>
      <c r="K65" s="156"/>
      <c r="L65" s="156"/>
      <c r="M65" s="156"/>
      <c r="N65" s="156"/>
      <c r="O65" s="156"/>
      <c r="P65" s="156"/>
    </row>
    <row r="66" spans="2:16" x14ac:dyDescent="0.3">
      <c r="B66" s="150"/>
      <c r="C66" s="150"/>
      <c r="D66" s="156"/>
      <c r="E66" s="156"/>
      <c r="F66" s="156"/>
      <c r="G66" s="156"/>
      <c r="H66" s="156"/>
      <c r="I66" s="156"/>
      <c r="J66" s="156"/>
      <c r="K66" s="156"/>
      <c r="L66" s="156"/>
      <c r="M66" s="156"/>
      <c r="N66" s="156"/>
      <c r="O66" s="156"/>
      <c r="P66" s="156"/>
    </row>
  </sheetData>
  <mergeCells count="40">
    <mergeCell ref="B2:C2"/>
    <mergeCell ref="B3:C3"/>
    <mergeCell ref="B5:C5"/>
    <mergeCell ref="B7:C7"/>
    <mergeCell ref="D30:P30"/>
    <mergeCell ref="B14:P14"/>
    <mergeCell ref="B16:P16"/>
    <mergeCell ref="B29:C29"/>
    <mergeCell ref="D29:P29"/>
    <mergeCell ref="B15:C15"/>
    <mergeCell ref="D21:P21"/>
    <mergeCell ref="D22:P22"/>
    <mergeCell ref="B21:C21"/>
    <mergeCell ref="B19:C19"/>
    <mergeCell ref="D35:P35"/>
    <mergeCell ref="B65:C66"/>
    <mergeCell ref="D61:P62"/>
    <mergeCell ref="D63:P64"/>
    <mergeCell ref="D65:P66"/>
    <mergeCell ref="B63:C64"/>
    <mergeCell ref="B61:C62"/>
    <mergeCell ref="B59:C59"/>
    <mergeCell ref="B53:C53"/>
    <mergeCell ref="B55:C55"/>
    <mergeCell ref="B57:C57"/>
    <mergeCell ref="D42:D52"/>
    <mergeCell ref="E42:E52"/>
    <mergeCell ref="F42:F52"/>
    <mergeCell ref="G42:G52"/>
    <mergeCell ref="M42:M52"/>
    <mergeCell ref="N42:N52"/>
    <mergeCell ref="O42:O52"/>
    <mergeCell ref="P42:P52"/>
    <mergeCell ref="B42:B52"/>
    <mergeCell ref="C42:C52"/>
    <mergeCell ref="H42:H52"/>
    <mergeCell ref="I42:I52"/>
    <mergeCell ref="J42:J52"/>
    <mergeCell ref="K42:K52"/>
    <mergeCell ref="L42:L52"/>
  </mergeCells>
  <pageMargins left="0.11811023622047245" right="0.19685039370078741" top="0.19685039370078741" bottom="0.19685039370078741" header="0.31496062992125984" footer="0.31496062992125984"/>
  <pageSetup paperSize="9" scale="57" orientation="landscape" r:id="rId1"/>
  <headerFooter>
    <oddHeader>&amp;R&amp;"-,Negrito itálico"&amp;D</oddHeader>
    <oddFooter>&amp;R&amp;"-,Negrito itálico"Edson OLiveira - Controladoria IGEVE</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12FC2-C686-4771-924E-3961A9A775CC}">
  <dimension ref="B2:T11"/>
  <sheetViews>
    <sheetView topLeftCell="B1" workbookViewId="0">
      <selection activeCell="S18" sqref="S18"/>
    </sheetView>
  </sheetViews>
  <sheetFormatPr defaultRowHeight="14.4" x14ac:dyDescent="0.3"/>
  <cols>
    <col min="1" max="1" width="2.77734375" customWidth="1"/>
    <col min="3" max="3" width="19.77734375" customWidth="1"/>
    <col min="5" max="5" width="10.5546875" customWidth="1"/>
    <col min="6" max="6" width="10.44140625" customWidth="1"/>
    <col min="7" max="7" width="10.6640625" customWidth="1"/>
    <col min="8" max="8" width="9.88671875" customWidth="1"/>
    <col min="9" max="9" width="10.21875" customWidth="1"/>
    <col min="10" max="10" width="11.33203125" customWidth="1"/>
    <col min="11" max="11" width="2.5546875" customWidth="1"/>
    <col min="13" max="13" width="19.33203125" customWidth="1"/>
    <col min="15" max="15" width="11.44140625" customWidth="1"/>
    <col min="16" max="16" width="11.21875" customWidth="1"/>
    <col min="17" max="18" width="10.5546875" customWidth="1"/>
    <col min="19" max="19" width="10.88671875" customWidth="1"/>
    <col min="20" max="20" width="10.77734375" customWidth="1"/>
  </cols>
  <sheetData>
    <row r="2" spans="2:20" ht="15" thickBot="1" x14ac:dyDescent="0.35"/>
    <row r="3" spans="2:20" ht="67.8" customHeight="1" thickBot="1" x14ac:dyDescent="0.35">
      <c r="B3" s="99" t="s">
        <v>149</v>
      </c>
      <c r="C3" s="100" t="s">
        <v>150</v>
      </c>
      <c r="D3" s="100" t="s">
        <v>151</v>
      </c>
      <c r="E3" s="100" t="s">
        <v>35</v>
      </c>
      <c r="F3" s="100" t="s">
        <v>152</v>
      </c>
      <c r="G3" s="100" t="s">
        <v>153</v>
      </c>
      <c r="H3" s="100" t="s">
        <v>40</v>
      </c>
      <c r="I3" s="100" t="s">
        <v>22</v>
      </c>
      <c r="J3" s="101" t="s">
        <v>154</v>
      </c>
      <c r="L3" s="99" t="s">
        <v>149</v>
      </c>
      <c r="M3" s="100" t="s">
        <v>150</v>
      </c>
      <c r="N3" s="100" t="s">
        <v>151</v>
      </c>
      <c r="O3" s="100" t="s">
        <v>35</v>
      </c>
      <c r="P3" s="100" t="s">
        <v>152</v>
      </c>
      <c r="Q3" s="100" t="s">
        <v>153</v>
      </c>
      <c r="R3" s="100" t="s">
        <v>40</v>
      </c>
      <c r="S3" s="100" t="s">
        <v>22</v>
      </c>
      <c r="T3" s="101" t="s">
        <v>155</v>
      </c>
    </row>
    <row r="4" spans="2:20" ht="23.4" customHeight="1" x14ac:dyDescent="0.3">
      <c r="B4" s="102">
        <f>VPTA!C15</f>
        <v>1</v>
      </c>
      <c r="C4" s="103" t="str">
        <f>[1]VPTA!A15</f>
        <v>DIRETOR</v>
      </c>
      <c r="D4" s="103">
        <f>[1]VPTA!B15</f>
        <v>40</v>
      </c>
      <c r="E4" s="104">
        <f>VPTA!D15</f>
        <v>2976.46</v>
      </c>
      <c r="F4" s="105">
        <f>VPTA!H15+VPTA!I15+VPTA!J15+VPTA!K15+VPTA!O26</f>
        <v>1062.4308611111112</v>
      </c>
      <c r="G4" s="115">
        <f>VPTA!L15+VPTA!M15+VPTA!N15+VPTA!O15+VPTA!P15+VPTA!I26+VPTA!J26+VPTA!K26+VPTA!M26</f>
        <v>1091.8647433333335</v>
      </c>
      <c r="H4" s="105">
        <f>VPTA!N26</f>
        <v>39.200000000000003</v>
      </c>
      <c r="I4" s="105">
        <f>VPTA!L26</f>
        <v>462</v>
      </c>
      <c r="J4" s="106">
        <f t="shared" ref="J4:J11" si="0">SUM(E4:I4)</f>
        <v>5631.9556044444444</v>
      </c>
      <c r="L4" s="102">
        <v>1</v>
      </c>
      <c r="M4" s="103" t="s">
        <v>117</v>
      </c>
      <c r="N4" s="103">
        <v>40</v>
      </c>
      <c r="O4" s="104">
        <f t="shared" ref="O4:S5" si="1">E4*12</f>
        <v>35717.520000000004</v>
      </c>
      <c r="P4" s="105">
        <f t="shared" si="1"/>
        <v>12749.170333333335</v>
      </c>
      <c r="Q4" s="105">
        <f t="shared" si="1"/>
        <v>13102.376920000002</v>
      </c>
      <c r="R4" s="105">
        <f t="shared" si="1"/>
        <v>470.40000000000003</v>
      </c>
      <c r="S4" s="105">
        <f t="shared" si="1"/>
        <v>5544</v>
      </c>
      <c r="T4" s="106">
        <f>SUM(O4:S4)</f>
        <v>67583.467253333336</v>
      </c>
    </row>
    <row r="5" spans="2:20" x14ac:dyDescent="0.3">
      <c r="B5" s="107">
        <f>VPTA!C16</f>
        <v>1</v>
      </c>
      <c r="C5" s="108" t="str">
        <f>[1]VPTA!A16</f>
        <v>COORDENADOR PEDAGÓGICO</v>
      </c>
      <c r="D5" s="108">
        <f>[1]VPTA!B16</f>
        <v>40</v>
      </c>
      <c r="E5" s="109">
        <f>VPTA!D16</f>
        <v>2836.71</v>
      </c>
      <c r="F5" s="110">
        <f>VPTA!H16+VPTA!I16+VPTA!J16+VPTA!K16+VPTA!O27</f>
        <v>1012.5478750000001</v>
      </c>
      <c r="G5" s="116">
        <f>VPTA!L16+VPTA!M16+VPTA!N16+VPTA!O16+VPTA!P16+VPTA!I27+VPTA!J27+VPTA!K27+VPTA!M27</f>
        <v>1040.5997850000001</v>
      </c>
      <c r="H5" s="110">
        <f>VPTA!N27</f>
        <v>39.200000000000003</v>
      </c>
      <c r="I5" s="110">
        <f>VPTA!L27</f>
        <v>462</v>
      </c>
      <c r="J5" s="111">
        <f t="shared" si="0"/>
        <v>5391.0576600000004</v>
      </c>
      <c r="L5" s="107">
        <v>1</v>
      </c>
      <c r="M5" s="108" t="s">
        <v>131</v>
      </c>
      <c r="N5" s="108">
        <v>40</v>
      </c>
      <c r="O5" s="109">
        <f t="shared" si="1"/>
        <v>34040.520000000004</v>
      </c>
      <c r="P5" s="110">
        <f t="shared" si="1"/>
        <v>12150.574500000001</v>
      </c>
      <c r="Q5" s="110">
        <f t="shared" si="1"/>
        <v>12487.19742</v>
      </c>
      <c r="R5" s="110">
        <f t="shared" si="1"/>
        <v>470.40000000000003</v>
      </c>
      <c r="S5" s="110">
        <f t="shared" si="1"/>
        <v>5544</v>
      </c>
      <c r="T5" s="111">
        <f>SUM(O5:S5)</f>
        <v>64692.691920000005</v>
      </c>
    </row>
    <row r="6" spans="2:20" ht="25.8" customHeight="1" x14ac:dyDescent="0.3">
      <c r="B6" s="107">
        <f>VPTA!C17</f>
        <v>4</v>
      </c>
      <c r="C6" s="108" t="str">
        <f>[1]VPTA!A17</f>
        <v>PROFESSORES</v>
      </c>
      <c r="D6" s="108">
        <f>[1]VPTA!B17</f>
        <v>40</v>
      </c>
      <c r="E6" s="109">
        <f>VPTA!D17</f>
        <v>10476</v>
      </c>
      <c r="F6" s="110">
        <f>VPTA!H17+VPTA!I17+VPTA!J17+VPTA!K17+VPTA!O28</f>
        <v>3739.3500000000004</v>
      </c>
      <c r="G6" s="116">
        <f>VPTA!L17+VPTA!M17+VPTA!N17+VPTA!O17+VPTA!P17+VPTA!I28+VPTA!J28+VPTA!K28+VPTA!M28</f>
        <v>3842.9459999999995</v>
      </c>
      <c r="H6" s="110">
        <f>VPTA!N28</f>
        <v>156.80000000000001</v>
      </c>
      <c r="I6" s="110">
        <f>VPTA!L28</f>
        <v>1848</v>
      </c>
      <c r="J6" s="111">
        <f t="shared" si="0"/>
        <v>20063.095999999998</v>
      </c>
      <c r="L6" s="107">
        <v>4</v>
      </c>
      <c r="M6" s="108" t="s">
        <v>118</v>
      </c>
      <c r="N6" s="108">
        <v>40</v>
      </c>
      <c r="O6" s="109">
        <f t="shared" ref="O6:S10" si="2">E6*12</f>
        <v>125712</v>
      </c>
      <c r="P6" s="110">
        <f t="shared" si="2"/>
        <v>44872.200000000004</v>
      </c>
      <c r="Q6" s="110">
        <f t="shared" si="2"/>
        <v>46115.351999999992</v>
      </c>
      <c r="R6" s="110">
        <f t="shared" si="2"/>
        <v>1881.6000000000001</v>
      </c>
      <c r="S6" s="110">
        <f t="shared" si="2"/>
        <v>22176</v>
      </c>
      <c r="T6" s="111">
        <f t="shared" ref="T6:T10" si="3">SUM(O6:S6)</f>
        <v>240757.152</v>
      </c>
    </row>
    <row r="7" spans="2:20" ht="26.4" customHeight="1" x14ac:dyDescent="0.3">
      <c r="B7" s="107">
        <f>VPTA!C18</f>
        <v>15</v>
      </c>
      <c r="C7" s="108" t="str">
        <f>[1]VPTA!A18</f>
        <v>AUXILIAR DE CLASSE</v>
      </c>
      <c r="D7" s="108">
        <f>[1]VPTA!B18</f>
        <v>40</v>
      </c>
      <c r="E7" s="109">
        <f>VPTA!D18</f>
        <v>25365</v>
      </c>
      <c r="F7" s="110">
        <f>VPTA!H18+VPTA!I18+VPTA!J18+VPTA!K18+VPTA!O29</f>
        <v>9053.8958333333339</v>
      </c>
      <c r="G7" s="116">
        <f>VPTA!L18+VPTA!M18+VPTA!N18+VPTA!O18+VPTA!P18+VPTA!I29+VPTA!J29+VPTA!K29+VPTA!M29</f>
        <v>9304.7275000000009</v>
      </c>
      <c r="H7" s="110">
        <f>VPTA!N29</f>
        <v>588</v>
      </c>
      <c r="I7" s="110">
        <f>VPTA!L29</f>
        <v>6930</v>
      </c>
      <c r="J7" s="111">
        <f t="shared" si="0"/>
        <v>51241.623333333337</v>
      </c>
      <c r="L7" s="107">
        <v>12</v>
      </c>
      <c r="M7" s="108" t="s">
        <v>133</v>
      </c>
      <c r="N7" s="108">
        <v>40</v>
      </c>
      <c r="O7" s="109">
        <f t="shared" si="2"/>
        <v>304380</v>
      </c>
      <c r="P7" s="110">
        <f t="shared" si="2"/>
        <v>108646.75</v>
      </c>
      <c r="Q7" s="110">
        <f t="shared" si="2"/>
        <v>111656.73000000001</v>
      </c>
      <c r="R7" s="110">
        <f t="shared" si="2"/>
        <v>7056</v>
      </c>
      <c r="S7" s="110">
        <f t="shared" si="2"/>
        <v>83160</v>
      </c>
      <c r="T7" s="111">
        <f t="shared" si="3"/>
        <v>614899.48</v>
      </c>
    </row>
    <row r="8" spans="2:20" ht="27" customHeight="1" x14ac:dyDescent="0.3">
      <c r="B8" s="107">
        <f>VPTA!C19</f>
        <v>1</v>
      </c>
      <c r="C8" s="108" t="str">
        <f>[1]VPTA!A19</f>
        <v>PROFISSIONAL DE APOIO</v>
      </c>
      <c r="D8" s="108">
        <f>[1]VPTA!B19</f>
        <v>40</v>
      </c>
      <c r="E8" s="109">
        <f>VPTA!D19</f>
        <v>1442</v>
      </c>
      <c r="F8" s="110">
        <f>VPTA!H19+VPTA!I19+VPTA!J19+VPTA!K19+VPTA!O30</f>
        <v>514.71388888888885</v>
      </c>
      <c r="G8" s="116">
        <f>VPTA!L19+VPTA!M19+VPTA!N19+VPTA!O19+VPTA!P19+VPTA!I30+VPTA!J30+VPTA!K30+VPTA!M30</f>
        <v>528.97366666666676</v>
      </c>
      <c r="H8" s="110">
        <f>VPTA!N30</f>
        <v>39.200000000000003</v>
      </c>
      <c r="I8" s="110">
        <f>VPTA!L30</f>
        <v>462</v>
      </c>
      <c r="J8" s="111">
        <f t="shared" si="0"/>
        <v>2986.8875555555555</v>
      </c>
      <c r="L8" s="107">
        <v>1</v>
      </c>
      <c r="M8" s="108" t="s">
        <v>134</v>
      </c>
      <c r="N8" s="108">
        <v>40</v>
      </c>
      <c r="O8" s="109">
        <f t="shared" si="2"/>
        <v>17304</v>
      </c>
      <c r="P8" s="110">
        <f t="shared" si="2"/>
        <v>6176.5666666666657</v>
      </c>
      <c r="Q8" s="110">
        <f t="shared" si="2"/>
        <v>6347.6840000000011</v>
      </c>
      <c r="R8" s="110">
        <f t="shared" si="2"/>
        <v>470.40000000000003</v>
      </c>
      <c r="S8" s="110">
        <f t="shared" si="2"/>
        <v>5544</v>
      </c>
      <c r="T8" s="111">
        <f t="shared" si="3"/>
        <v>35842.650666666668</v>
      </c>
    </row>
    <row r="9" spans="2:20" ht="28.8" customHeight="1" x14ac:dyDescent="0.3">
      <c r="B9" s="107">
        <f>VPTA!C20</f>
        <v>1</v>
      </c>
      <c r="C9" s="108" t="str">
        <f>[1]VPTA!A20</f>
        <v>AUXILIAR ADM</v>
      </c>
      <c r="D9" s="108">
        <f>[1]VPTA!B20</f>
        <v>40</v>
      </c>
      <c r="E9" s="109">
        <f>[1]VPTA!D20</f>
        <v>1228</v>
      </c>
      <c r="F9" s="110">
        <f>VPTA!H20+VPTA!I20+VPTA!J20+VPTA!K20+VPTA!O31</f>
        <v>514.71388888888885</v>
      </c>
      <c r="G9" s="116">
        <f>VPTA!L20+VPTA!M20+VPTA!N20+VPTA!O20+VPTA!P20+VPTA!I31+VPTA!J31+VPTA!K31+VPTA!M31</f>
        <v>528.97366666666676</v>
      </c>
      <c r="H9" s="110">
        <f>VPTA!N31</f>
        <v>39.200000000000003</v>
      </c>
      <c r="I9" s="110">
        <f>VPTA!L31</f>
        <v>462</v>
      </c>
      <c r="J9" s="111">
        <f t="shared" si="0"/>
        <v>2772.8875555555555</v>
      </c>
      <c r="L9" s="107">
        <v>1</v>
      </c>
      <c r="M9" s="108" t="s">
        <v>132</v>
      </c>
      <c r="N9" s="108">
        <v>40</v>
      </c>
      <c r="O9" s="109">
        <f t="shared" si="2"/>
        <v>14736</v>
      </c>
      <c r="P9" s="110">
        <f t="shared" si="2"/>
        <v>6176.5666666666657</v>
      </c>
      <c r="Q9" s="110">
        <f t="shared" si="2"/>
        <v>6347.6840000000011</v>
      </c>
      <c r="R9" s="110">
        <f t="shared" si="2"/>
        <v>470.40000000000003</v>
      </c>
      <c r="S9" s="110">
        <f t="shared" si="2"/>
        <v>5544</v>
      </c>
      <c r="T9" s="111">
        <f t="shared" si="3"/>
        <v>33274.650666666668</v>
      </c>
    </row>
    <row r="10" spans="2:20" ht="15" thickBot="1" x14ac:dyDescent="0.35">
      <c r="B10" s="107">
        <f>VPTA!C21</f>
        <v>3</v>
      </c>
      <c r="C10" s="108" t="str">
        <f>[1]VPTA!A21</f>
        <v>AUXILIAR DE LIMPEZA</v>
      </c>
      <c r="D10" s="108">
        <f>[1]VPTA!B21</f>
        <v>40</v>
      </c>
      <c r="E10" s="109">
        <f>[1]VPTA!D21</f>
        <v>3684</v>
      </c>
      <c r="F10" s="110">
        <f>VPTA!H21+VPTA!I21+VPTA!J21+VPTA!K21+VPTA!O32</f>
        <v>1544.1416666666667</v>
      </c>
      <c r="G10" s="116">
        <f>VPTA!L21+VPTA!M21+VPTA!N21+VPTA!O21+VPTA!P21+VPTA!I32+VPTA!J32+VPTA!K32+VPTA!M32</f>
        <v>1586.921</v>
      </c>
      <c r="H10" s="110">
        <f>VPTA!N32</f>
        <v>117.60000000000001</v>
      </c>
      <c r="I10" s="110">
        <f>VPTA!L32</f>
        <v>1386</v>
      </c>
      <c r="J10" s="111">
        <f t="shared" si="0"/>
        <v>8318.6626666666671</v>
      </c>
      <c r="L10" s="107">
        <v>3</v>
      </c>
      <c r="M10" s="108" t="s">
        <v>129</v>
      </c>
      <c r="N10" s="108">
        <v>40</v>
      </c>
      <c r="O10" s="109">
        <f t="shared" si="2"/>
        <v>44208</v>
      </c>
      <c r="P10" s="110">
        <f t="shared" si="2"/>
        <v>18529.7</v>
      </c>
      <c r="Q10" s="110">
        <f t="shared" si="2"/>
        <v>19043.052</v>
      </c>
      <c r="R10" s="110">
        <f t="shared" si="2"/>
        <v>1411.2</v>
      </c>
      <c r="S10" s="110">
        <f t="shared" si="2"/>
        <v>16632</v>
      </c>
      <c r="T10" s="111">
        <f t="shared" si="3"/>
        <v>99823.95199999999</v>
      </c>
    </row>
    <row r="11" spans="2:20" ht="22.8" customHeight="1" thickBot="1" x14ac:dyDescent="0.35">
      <c r="B11" s="112">
        <f>SUM(B4:B10)</f>
        <v>26</v>
      </c>
      <c r="C11" s="175" t="s">
        <v>48</v>
      </c>
      <c r="D11" s="176"/>
      <c r="E11" s="113">
        <f t="shared" ref="E11:I11" si="4">SUM(E4:E10)</f>
        <v>48008.17</v>
      </c>
      <c r="F11" s="113">
        <f t="shared" si="4"/>
        <v>17441.794013888892</v>
      </c>
      <c r="G11" s="113">
        <f t="shared" si="4"/>
        <v>17925.006361666667</v>
      </c>
      <c r="H11" s="113">
        <f t="shared" si="4"/>
        <v>1019.2000000000002</v>
      </c>
      <c r="I11" s="113">
        <f t="shared" si="4"/>
        <v>12012</v>
      </c>
      <c r="J11" s="114">
        <f t="shared" si="0"/>
        <v>96406.170375555565</v>
      </c>
      <c r="L11" s="112">
        <f>SUM(L4:L10)</f>
        <v>23</v>
      </c>
      <c r="M11" s="175" t="s">
        <v>48</v>
      </c>
      <c r="N11" s="176"/>
      <c r="O11" s="113">
        <f>SUM(O4:O10)</f>
        <v>576098.04</v>
      </c>
      <c r="P11" s="113">
        <f t="shared" ref="P11:S11" si="5">SUM(P4:P10)</f>
        <v>209301.52816666669</v>
      </c>
      <c r="Q11" s="113">
        <f t="shared" si="5"/>
        <v>215100.07634</v>
      </c>
      <c r="R11" s="113">
        <f t="shared" si="5"/>
        <v>12230.4</v>
      </c>
      <c r="S11" s="113">
        <f t="shared" si="5"/>
        <v>144144</v>
      </c>
      <c r="T11" s="114">
        <v>915571.68</v>
      </c>
    </row>
  </sheetData>
  <mergeCells count="2">
    <mergeCell ref="C11:D11"/>
    <mergeCell ref="M11:N11"/>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VPTA</vt:lpstr>
      <vt:lpstr>Anexo VII</vt:lpstr>
      <vt:lpstr>Plano Orçamentario</vt:lpstr>
      <vt:lpstr>Plano Analitico</vt:lpstr>
      <vt:lpstr>Planilha1</vt:lpstr>
    </vt:vector>
  </TitlesOfParts>
  <Manager/>
  <Company>LG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Vanessa</dc:creator>
  <cp:keywords/>
  <dc:description/>
  <cp:lastModifiedBy>mixcom</cp:lastModifiedBy>
  <cp:revision/>
  <cp:lastPrinted>2021-08-29T20:03:34Z</cp:lastPrinted>
  <dcterms:created xsi:type="dcterms:W3CDTF">2016-11-17T19:38:39Z</dcterms:created>
  <dcterms:modified xsi:type="dcterms:W3CDTF">2022-09-29T16:13:33Z</dcterms:modified>
  <cp:category/>
  <cp:contentStatus/>
</cp:coreProperties>
</file>